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7890"/>
  </bookViews>
  <sheets>
    <sheet name="User version" sheetId="9" r:id="rId1"/>
    <sheet name="CSER norm" sheetId="7" state="hidden" r:id="rId2"/>
  </sheets>
  <calcPr calcId="145621"/>
</workbook>
</file>

<file path=xl/calcChain.xml><?xml version="1.0" encoding="utf-8"?>
<calcChain xmlns="http://schemas.openxmlformats.org/spreadsheetml/2006/main">
  <c r="Q8" i="7" l="1"/>
  <c r="P12" i="9" l="1"/>
  <c r="P13" i="9"/>
  <c r="P14" i="9"/>
  <c r="P15" i="9"/>
  <c r="P16" i="9"/>
  <c r="P17" i="9"/>
  <c r="P11" i="9"/>
  <c r="L8" i="9"/>
  <c r="L6" i="9"/>
  <c r="F54" i="9"/>
  <c r="M22" i="9" s="1"/>
  <c r="P19" i="9"/>
  <c r="P18" i="9"/>
  <c r="G82" i="9" l="1"/>
  <c r="G81" i="9"/>
  <c r="F124" i="9"/>
  <c r="F123" i="9"/>
  <c r="F122" i="9"/>
  <c r="F121" i="9"/>
  <c r="F120" i="9"/>
  <c r="G83" i="9"/>
  <c r="D48" i="9" l="1"/>
  <c r="C48" i="9"/>
  <c r="D41" i="9"/>
  <c r="D42" i="9" s="1"/>
  <c r="C41" i="9"/>
  <c r="D44" i="9" l="1"/>
  <c r="D43" i="9"/>
  <c r="O20" i="9"/>
  <c r="P21" i="9" s="1"/>
  <c r="E54" i="9" s="1"/>
  <c r="D49" i="9" l="1"/>
  <c r="E49" i="9" s="1"/>
  <c r="D83" i="9"/>
  <c r="G85" i="9" l="1"/>
  <c r="D18" i="9"/>
  <c r="Q5" i="7"/>
  <c r="Q2" i="7"/>
  <c r="F62" i="9" l="1"/>
  <c r="K21" i="9"/>
  <c r="E53" i="9" s="1"/>
  <c r="E62" i="9" s="1"/>
  <c r="E63" i="9" l="1"/>
  <c r="E64" i="9"/>
  <c r="F64" i="9"/>
  <c r="F63" i="9"/>
  <c r="S5" i="7"/>
  <c r="R5" i="7"/>
  <c r="S2" i="7"/>
  <c r="R2" i="7"/>
  <c r="X23" i="7" l="1"/>
  <c r="W24" i="7"/>
  <c r="X14" i="7"/>
  <c r="W3" i="7"/>
  <c r="W23" i="7"/>
  <c r="W13" i="7"/>
  <c r="X24" i="7"/>
  <c r="X13" i="7"/>
  <c r="W4" i="7"/>
  <c r="W14" i="7"/>
  <c r="X3" i="7"/>
  <c r="X4" i="7"/>
  <c r="AB23" i="7" l="1"/>
  <c r="AB24" i="7"/>
  <c r="AB13" i="7"/>
  <c r="AB3" i="7"/>
  <c r="AB14" i="7"/>
  <c r="AB4" i="7"/>
  <c r="AB26" i="7" l="1"/>
  <c r="AB16" i="7"/>
  <c r="AB6" i="7"/>
  <c r="Q9" i="7" s="1"/>
  <c r="D10" i="9" s="1"/>
  <c r="D100" i="9" l="1"/>
  <c r="F100" i="9" s="1"/>
  <c r="D99" i="9"/>
  <c r="F99" i="9" s="1"/>
  <c r="E98" i="9"/>
  <c r="G98" i="9" s="1"/>
  <c r="D98" i="9"/>
  <c r="F98" i="9" s="1"/>
  <c r="E100" i="9"/>
  <c r="G100" i="9" s="1"/>
  <c r="E99" i="9"/>
  <c r="G99" i="9" s="1"/>
  <c r="G84" i="9"/>
  <c r="D64" i="9"/>
  <c r="D62" i="9"/>
  <c r="D70" i="9" s="1"/>
  <c r="D128" i="9" s="1"/>
  <c r="D63" i="9"/>
  <c r="D71" i="9" l="1"/>
  <c r="D129" i="9" s="1"/>
  <c r="E71" i="9"/>
  <c r="E129" i="9" s="1"/>
  <c r="E70" i="9"/>
  <c r="E128" i="9" s="1"/>
  <c r="E72" i="9"/>
  <c r="E130" i="9" s="1"/>
  <c r="D72" i="9"/>
  <c r="D130" i="9" s="1"/>
  <c r="E90" i="9" l="1"/>
  <c r="E91" i="9"/>
  <c r="F90" i="9" l="1"/>
  <c r="G90" i="9" s="1"/>
  <c r="F91" i="9"/>
  <c r="G91" i="9" s="1"/>
</calcChain>
</file>

<file path=xl/sharedStrings.xml><?xml version="1.0" encoding="utf-8"?>
<sst xmlns="http://schemas.openxmlformats.org/spreadsheetml/2006/main" count="242" uniqueCount="153">
  <si>
    <t>Input data</t>
  </si>
  <si>
    <t>CSER</t>
  </si>
  <si>
    <t>PV module</t>
  </si>
  <si>
    <t>Climates</t>
  </si>
  <si>
    <t>Subtropical arid</t>
  </si>
  <si>
    <t>Temperate coastal</t>
  </si>
  <si>
    <t>Temperate continental</t>
  </si>
  <si>
    <t>Inverter</t>
  </si>
  <si>
    <t>EN 50530 "Overall efficiency of grid connected photovoltaic inverters"</t>
  </si>
  <si>
    <t>EN 61853 "Photovoltaic (PV) module performance testing and energy rating"</t>
  </si>
  <si>
    <t>Euroefficiency (%)</t>
  </si>
  <si>
    <t>PV system losses</t>
  </si>
  <si>
    <t>Losses</t>
  </si>
  <si>
    <t>Module mismatch</t>
  </si>
  <si>
    <t>DC wiring</t>
  </si>
  <si>
    <t>Diodes and connectors</t>
  </si>
  <si>
    <t>Soiling</t>
  </si>
  <si>
    <t>Shading</t>
  </si>
  <si>
    <t>AC wiring</t>
  </si>
  <si>
    <t>Inverter temperature derating</t>
  </si>
  <si>
    <t>Datasheet information</t>
  </si>
  <si>
    <t>Pmax (W)</t>
  </si>
  <si>
    <t>Losses (%)</t>
  </si>
  <si>
    <t>PV system Performance Ratio calculation</t>
  </si>
  <si>
    <t>PV system configuration</t>
  </si>
  <si>
    <t>Default installation</t>
  </si>
  <si>
    <t>Microinverter (Y/N)</t>
  </si>
  <si>
    <t>N</t>
  </si>
  <si>
    <t>…</t>
  </si>
  <si>
    <t>PV system configuration - Losses (%)</t>
  </si>
  <si>
    <t>Calculated Performance Ratio</t>
  </si>
  <si>
    <t>&amp;</t>
  </si>
  <si>
    <t>PV system Performance Ratio</t>
  </si>
  <si>
    <t>PV system Energy Yield estimation</t>
  </si>
  <si>
    <t>Input</t>
  </si>
  <si>
    <t>PV system Lifetime (yrs)</t>
  </si>
  <si>
    <t>PV system Degradation (%)</t>
  </si>
  <si>
    <t>Installed PV array power (kW)</t>
  </si>
  <si>
    <t>PV syst loss (%)</t>
  </si>
  <si>
    <t>Reference climates</t>
  </si>
  <si>
    <t>SA</t>
  </si>
  <si>
    <t>A</t>
  </si>
  <si>
    <t>TS</t>
  </si>
  <si>
    <t>TN</t>
  </si>
  <si>
    <t>B</t>
  </si>
  <si>
    <t>C</t>
  </si>
  <si>
    <t>Results</t>
  </si>
  <si>
    <t>Various possible locations and configurations</t>
  </si>
  <si>
    <t>Defined PV system</t>
  </si>
  <si>
    <t>Year 0</t>
  </si>
  <si>
    <t>Lifetime</t>
  </si>
  <si>
    <t>kWh</t>
  </si>
  <si>
    <t xml:space="preserve">PV system AC Energy yield </t>
  </si>
  <si>
    <r>
      <t>Hp (kWh/m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.yr)</t>
    </r>
  </si>
  <si>
    <r>
      <t xml:space="preserve">   Hp (kWh/m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.year)</t>
    </r>
  </si>
  <si>
    <t>Reference climate (SA/TS/TN)*</t>
  </si>
  <si>
    <t>Nomenclature *</t>
  </si>
  <si>
    <t>D</t>
  </si>
  <si>
    <t>PV system PR based label</t>
  </si>
  <si>
    <t>PV system Performance Ratio based Label</t>
  </si>
  <si>
    <t>Performance Ratio</t>
  </si>
  <si>
    <t>Label</t>
  </si>
  <si>
    <t>E</t>
  </si>
  <si>
    <t xml:space="preserve"> &gt; 0.875 </t>
  </si>
  <si>
    <t>[ 0.825 - 0.875 )</t>
  </si>
  <si>
    <t>&lt; 0.6</t>
  </si>
  <si>
    <t>F</t>
  </si>
  <si>
    <t>[ 0.6 - 0.725 )</t>
  </si>
  <si>
    <t>[ 0.725 - 0.775 )</t>
  </si>
  <si>
    <t>[ 0.775 - 0.825 )</t>
  </si>
  <si>
    <t>PV module &amp; Inverter</t>
  </si>
  <si>
    <t>Default values (%)</t>
  </si>
  <si>
    <t>User defined installation</t>
  </si>
  <si>
    <t>Default</t>
  </si>
  <si>
    <t>User defined</t>
  </si>
  <si>
    <t>C1</t>
  </si>
  <si>
    <t>C2</t>
  </si>
  <si>
    <t>PV system configuration - PV system losses</t>
  </si>
  <si>
    <t>PV system config (C1/C2)*</t>
  </si>
  <si>
    <t>Calculation</t>
  </si>
  <si>
    <t>Azim</t>
  </si>
  <si>
    <t>Incl</t>
  </si>
  <si>
    <t>User</t>
  </si>
  <si>
    <t>upper azim</t>
  </si>
  <si>
    <t>lower azim</t>
  </si>
  <si>
    <t>lower incl</t>
  </si>
  <si>
    <t>upper incl</t>
  </si>
  <si>
    <t>Point 1</t>
  </si>
  <si>
    <t>Point 2</t>
  </si>
  <si>
    <t>Point 3</t>
  </si>
  <si>
    <t>Point 4</t>
  </si>
  <si>
    <t>Pont A</t>
  </si>
  <si>
    <t>Point B</t>
  </si>
  <si>
    <t>Users</t>
  </si>
  <si>
    <t>Ref clim</t>
  </si>
  <si>
    <t>norm factor</t>
  </si>
  <si>
    <t>I haven't touched the last two climates yet</t>
  </si>
  <si>
    <r>
      <t>PV module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</si>
  <si>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Installation configuration</t>
  </si>
  <si>
    <r>
      <t>Orientation (</t>
    </r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Calibri"/>
        <family val="2"/>
        <scheme val="minor"/>
      </rPr>
      <t>) (S is 0</t>
    </r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Calibri"/>
        <family val="2"/>
      </rPr>
      <t>S, E is -90</t>
    </r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Calibri"/>
        <family val="2"/>
      </rPr>
      <t>E)</t>
    </r>
  </si>
  <si>
    <r>
      <t>Inclination (</t>
    </r>
    <r>
      <rPr>
        <sz val="11"/>
        <color theme="1"/>
        <rFont val="Calibri"/>
        <family val="2"/>
        <scheme val="minor"/>
      </rPr>
      <t>°)</t>
    </r>
  </si>
  <si>
    <t>Efficiency (%)</t>
  </si>
  <si>
    <r>
      <rPr>
        <i/>
        <sz val="11"/>
        <color theme="1"/>
        <rFont val="Calibri"/>
        <family val="2"/>
        <scheme val="minor"/>
      </rPr>
      <t>CSER</t>
    </r>
    <r>
      <rPr>
        <sz val="11"/>
        <color theme="1"/>
        <rFont val="Calibri"/>
        <family val="2"/>
        <scheme val="minor"/>
      </rPr>
      <t xml:space="preserve"> Correction factor</t>
    </r>
  </si>
  <si>
    <t>AC rated power (kW)</t>
  </si>
  <si>
    <r>
      <t xml:space="preserve">CSER </t>
    </r>
    <r>
      <rPr>
        <sz val="11"/>
        <color theme="1"/>
        <rFont val="Calibri"/>
        <family val="2"/>
        <scheme val="minor"/>
      </rPr>
      <t>corrected</t>
    </r>
  </si>
  <si>
    <t>Applied values (%)</t>
  </si>
  <si>
    <t>User values (%)</t>
  </si>
  <si>
    <t>Use default values (Y/N)</t>
  </si>
  <si>
    <t>Installed PV power (kW)</t>
  </si>
  <si>
    <t>PV system configuration - PV array</t>
  </si>
  <si>
    <t>PV system configuration - Inverter</t>
  </si>
  <si>
    <t>Size ratio PV array/Inverter</t>
  </si>
  <si>
    <r>
      <t>kWh/kW.m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</si>
  <si>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kWh/kW </t>
  </si>
  <si>
    <r>
      <t>Lifetime PV system AC Energy yield (kWh/kW.m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</si>
  <si>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PV module (W)</t>
  </si>
  <si>
    <r>
      <t>PV module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</si>
  <si>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Installed PV modules</t>
  </si>
  <si>
    <r>
      <t>Installed PV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</si>
  <si>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Minimum values (%)</t>
  </si>
  <si>
    <t>Typical values (%)</t>
  </si>
  <si>
    <t>Average values (%)</t>
  </si>
  <si>
    <t>Energy Label</t>
  </si>
  <si>
    <t>Temp coastal</t>
  </si>
  <si>
    <t>Temp continental</t>
  </si>
  <si>
    <t>Subtrop arid</t>
  </si>
  <si>
    <t xml:space="preserve"> B</t>
  </si>
  <si>
    <r>
      <t>Lifetime AC Energy yield (MWh/kW.m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</si>
  <si>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&lt; 1.55</t>
  </si>
  <si>
    <t>&lt; 0.68</t>
  </si>
  <si>
    <t>&lt;0.88</t>
  </si>
  <si>
    <t>a</t>
  </si>
  <si>
    <t>b</t>
  </si>
  <si>
    <t>c</t>
  </si>
  <si>
    <t>d</t>
  </si>
  <si>
    <t>e</t>
  </si>
  <si>
    <t>Sub arid</t>
  </si>
  <si>
    <t>T coastal</t>
  </si>
  <si>
    <t>T cont</t>
  </si>
  <si>
    <t>lower lim</t>
  </si>
  <si>
    <t>&gt; 3.61</t>
  </si>
  <si>
    <t>&gt; 1.58</t>
  </si>
  <si>
    <t>&gt; 2.04</t>
  </si>
  <si>
    <t>[3.61 - 2.93)</t>
  </si>
  <si>
    <t>[1.58 - 1.28)</t>
  </si>
  <si>
    <t>[2.04 - 1.65)</t>
  </si>
  <si>
    <t>[2.93 - 2.24)</t>
  </si>
  <si>
    <t>[1.28 - 0.98)</t>
  </si>
  <si>
    <t>[1.65 - 1.27)</t>
  </si>
  <si>
    <t>[2.24 - 1.55)</t>
  </si>
  <si>
    <t>[0.98 - 0.68)</t>
  </si>
  <si>
    <t>[1.27 - 0.88)</t>
  </si>
  <si>
    <t>User requested PV power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</si>
</sst>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0" xfId="0" applyFon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3" fillId="2" borderId="5" xfId="0" applyFont="1" applyFill="1" applyBorder="1"/>
    <xf numFmtId="0" fontId="0" fillId="4" borderId="12" xfId="0" applyFill="1" applyBorder="1"/>
    <xf numFmtId="0" fontId="4" fillId="5" borderId="10" xfId="0" applyFont="1" applyFill="1" applyBorder="1"/>
    <xf numFmtId="0" fontId="0" fillId="5" borderId="11" xfId="0" applyFill="1" applyBorder="1"/>
    <xf numFmtId="0" fontId="0" fillId="5" borderId="12" xfId="0" applyFill="1" applyBorder="1"/>
    <xf numFmtId="0" fontId="1" fillId="4" borderId="5" xfId="0" applyFont="1" applyFill="1" applyBorder="1"/>
    <xf numFmtId="0" fontId="0" fillId="4" borderId="0" xfId="0" applyFill="1" applyBorder="1"/>
    <xf numFmtId="0" fontId="0" fillId="4" borderId="6" xfId="0" applyFill="1" applyBorder="1"/>
    <xf numFmtId="0" fontId="3" fillId="4" borderId="5" xfId="0" applyFont="1" applyFill="1" applyBorder="1"/>
    <xf numFmtId="0" fontId="0" fillId="4" borderId="13" xfId="0" applyFill="1" applyBorder="1" applyAlignment="1">
      <alignment horizontal="center"/>
    </xf>
    <xf numFmtId="0" fontId="0" fillId="4" borderId="2" xfId="0" applyFill="1" applyBorder="1"/>
    <xf numFmtId="0" fontId="0" fillId="4" borderId="4" xfId="0" applyFill="1" applyBorder="1"/>
    <xf numFmtId="2" fontId="0" fillId="4" borderId="1" xfId="0" applyNumberFormat="1" applyFill="1" applyBorder="1" applyAlignment="1">
      <alignment horizontal="center"/>
    </xf>
    <xf numFmtId="0" fontId="0" fillId="4" borderId="10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5" xfId="0" applyFill="1" applyBorder="1"/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" xfId="0" applyFill="1" applyBorder="1"/>
    <xf numFmtId="164" fontId="0" fillId="4" borderId="15" xfId="0" applyNumberFormat="1" applyFill="1" applyBorder="1" applyAlignment="1">
      <alignment horizontal="center"/>
    </xf>
    <xf numFmtId="0" fontId="0" fillId="4" borderId="8" xfId="0" applyFill="1" applyBorder="1"/>
    <xf numFmtId="0" fontId="0" fillId="3" borderId="1" xfId="0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" xfId="0" applyFill="1" applyBorder="1"/>
    <xf numFmtId="0" fontId="4" fillId="7" borderId="10" xfId="0" applyFont="1" applyFill="1" applyBorder="1"/>
    <xf numFmtId="0" fontId="0" fillId="7" borderId="11" xfId="0" applyFill="1" applyBorder="1"/>
    <xf numFmtId="0" fontId="0" fillId="8" borderId="1" xfId="0" applyFill="1" applyBorder="1" applyAlignment="1">
      <alignment horizontal="center"/>
    </xf>
    <xf numFmtId="0" fontId="0" fillId="6" borderId="5" xfId="0" applyFill="1" applyBorder="1"/>
    <xf numFmtId="0" fontId="0" fillId="6" borderId="0" xfId="0" applyFill="1" applyBorder="1"/>
    <xf numFmtId="0" fontId="3" fillId="6" borderId="5" xfId="0" applyFont="1" applyFill="1" applyBorder="1"/>
    <xf numFmtId="0" fontId="0" fillId="6" borderId="1" xfId="0" applyFill="1" applyBorder="1" applyAlignment="1">
      <alignment horizontal="center"/>
    </xf>
    <xf numFmtId="0" fontId="2" fillId="6" borderId="1" xfId="0" applyFont="1" applyFill="1" applyBorder="1"/>
    <xf numFmtId="2" fontId="0" fillId="6" borderId="1" xfId="0" applyNumberFormat="1" applyFill="1" applyBorder="1" applyAlignment="1">
      <alignment horizontal="center"/>
    </xf>
    <xf numFmtId="0" fontId="0" fillId="6" borderId="3" xfId="0" applyFill="1" applyBorder="1"/>
    <xf numFmtId="1" fontId="0" fillId="6" borderId="1" xfId="0" applyNumberFormat="1" applyFill="1" applyBorder="1" applyAlignment="1">
      <alignment horizontal="center"/>
    </xf>
    <xf numFmtId="0" fontId="0" fillId="9" borderId="2" xfId="0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0" xfId="0" applyFill="1" applyBorder="1"/>
    <xf numFmtId="0" fontId="0" fillId="9" borderId="6" xfId="0" applyFill="1" applyBorder="1"/>
    <xf numFmtId="0" fontId="0" fillId="9" borderId="5" xfId="0" applyFont="1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3" fillId="6" borderId="2" xfId="0" applyFont="1" applyFill="1" applyBorder="1"/>
    <xf numFmtId="0" fontId="0" fillId="9" borderId="0" xfId="0" applyFill="1"/>
    <xf numFmtId="0" fontId="0" fillId="9" borderId="0" xfId="0" applyFont="1" applyFill="1" applyBorder="1" applyAlignment="1">
      <alignment horizontal="left"/>
    </xf>
    <xf numFmtId="164" fontId="0" fillId="9" borderId="0" xfId="0" applyNumberForma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" fontId="6" fillId="11" borderId="17" xfId="0" applyNumberFormat="1" applyFont="1" applyFill="1" applyBorder="1" applyAlignment="1">
      <alignment horizontal="center"/>
    </xf>
    <xf numFmtId="1" fontId="7" fillId="11" borderId="16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8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0" fillId="4" borderId="3" xfId="0" applyFill="1" applyBorder="1"/>
    <xf numFmtId="0" fontId="5" fillId="4" borderId="6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0" fillId="12" borderId="3" xfId="0" applyFill="1" applyBorder="1"/>
    <xf numFmtId="0" fontId="9" fillId="12" borderId="2" xfId="0" applyFont="1" applyFill="1" applyBorder="1"/>
    <xf numFmtId="0" fontId="7" fillId="12" borderId="3" xfId="0" applyFont="1" applyFill="1" applyBorder="1"/>
    <xf numFmtId="0" fontId="7" fillId="12" borderId="4" xfId="0" applyFont="1" applyFill="1" applyBorder="1"/>
    <xf numFmtId="0" fontId="0" fillId="10" borderId="11" xfId="0" applyFill="1" applyBorder="1"/>
    <xf numFmtId="0" fontId="0" fillId="10" borderId="12" xfId="0" applyFill="1" applyBorder="1"/>
    <xf numFmtId="0" fontId="4" fillId="10" borderId="11" xfId="0" applyFont="1" applyFill="1" applyBorder="1"/>
    <xf numFmtId="2" fontId="0" fillId="2" borderId="16" xfId="0" applyNumberFormat="1" applyFill="1" applyBorder="1" applyAlignment="1">
      <alignment horizontal="center"/>
    </xf>
    <xf numFmtId="0" fontId="0" fillId="10" borderId="10" xfId="0" applyFill="1" applyBorder="1"/>
    <xf numFmtId="0" fontId="0" fillId="4" borderId="0" xfId="0" applyFill="1" applyBorder="1" applyAlignment="1"/>
    <xf numFmtId="0" fontId="9" fillId="13" borderId="1" xfId="0" applyFont="1" applyFill="1" applyBorder="1"/>
    <xf numFmtId="0" fontId="0" fillId="13" borderId="3" xfId="0" applyFill="1" applyBorder="1"/>
    <xf numFmtId="0" fontId="0" fillId="13" borderId="4" xfId="0" applyFill="1" applyBorder="1"/>
    <xf numFmtId="164" fontId="1" fillId="4" borderId="1" xfId="0" applyNumberFormat="1" applyFont="1" applyFill="1" applyBorder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14" borderId="1" xfId="0" applyFill="1" applyBorder="1"/>
    <xf numFmtId="0" fontId="0" fillId="15" borderId="1" xfId="0" applyFill="1" applyBorder="1"/>
    <xf numFmtId="0" fontId="0" fillId="16" borderId="0" xfId="0" applyFill="1" applyBorder="1"/>
    <xf numFmtId="0" fontId="0" fillId="16" borderId="1" xfId="0" applyFill="1" applyBorder="1"/>
    <xf numFmtId="0" fontId="0" fillId="7" borderId="1" xfId="0" applyFill="1" applyBorder="1"/>
    <xf numFmtId="0" fontId="0" fillId="7" borderId="5" xfId="0" applyFill="1" applyBorder="1"/>
    <xf numFmtId="0" fontId="0" fillId="17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1" fillId="0" borderId="19" xfId="0" applyFont="1" applyBorder="1"/>
    <xf numFmtId="0" fontId="0" fillId="0" borderId="20" xfId="0" applyBorder="1"/>
    <xf numFmtId="0" fontId="0" fillId="0" borderId="21" xfId="0" applyBorder="1"/>
    <xf numFmtId="0" fontId="0" fillId="14" borderId="22" xfId="0" applyFill="1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15" borderId="25" xfId="0" applyFill="1" applyBorder="1"/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20" borderId="19" xfId="0" applyFill="1" applyBorder="1"/>
    <xf numFmtId="0" fontId="0" fillId="20" borderId="21" xfId="0" applyFill="1" applyBorder="1"/>
    <xf numFmtId="0" fontId="0" fillId="20" borderId="17" xfId="0" applyFill="1" applyBorder="1"/>
    <xf numFmtId="0" fontId="1" fillId="20" borderId="18" xfId="0" applyFont="1" applyFill="1" applyBorder="1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4" fillId="10" borderId="10" xfId="0" applyFont="1" applyFill="1" applyBorder="1"/>
    <xf numFmtId="0" fontId="4" fillId="2" borderId="5" xfId="0" applyFont="1" applyFill="1" applyBorder="1"/>
    <xf numFmtId="0" fontId="0" fillId="2" borderId="0" xfId="0" applyFill="1" applyBorder="1" applyAlignment="1">
      <alignment vertical="center"/>
    </xf>
    <xf numFmtId="0" fontId="3" fillId="2" borderId="5" xfId="0" applyFont="1" applyFill="1" applyBorder="1" applyAlignment="1"/>
    <xf numFmtId="0" fontId="0" fillId="2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4" borderId="2" xfId="0" applyFont="1" applyFill="1" applyBorder="1"/>
    <xf numFmtId="0" fontId="1" fillId="4" borderId="0" xfId="0" applyFont="1" applyFill="1" applyBorder="1"/>
    <xf numFmtId="0" fontId="4" fillId="4" borderId="5" xfId="0" applyFont="1" applyFill="1" applyBorder="1"/>
    <xf numFmtId="2" fontId="0" fillId="3" borderId="1" xfId="0" applyNumberFormat="1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1" fontId="7" fillId="11" borderId="17" xfId="0" applyNumberFormat="1" applyFont="1" applyFill="1" applyBorder="1" applyAlignment="1">
      <alignment horizontal="center"/>
    </xf>
    <xf numFmtId="164" fontId="0" fillId="6" borderId="13" xfId="0" applyNumberForma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0" fillId="6" borderId="10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1" fontId="0" fillId="4" borderId="1" xfId="0" applyNumberFormat="1" applyFill="1" applyBorder="1" applyAlignment="1">
      <alignment horizontal="center" vertical="center"/>
    </xf>
    <xf numFmtId="1" fontId="0" fillId="9" borderId="0" xfId="0" applyNumberFormat="1" applyFill="1" applyBorder="1" applyAlignment="1">
      <alignment horizontal="center"/>
    </xf>
    <xf numFmtId="1" fontId="6" fillId="9" borderId="0" xfId="0" applyNumberFormat="1" applyFont="1" applyFill="1" applyBorder="1" applyAlignment="1">
      <alignment horizontal="center"/>
    </xf>
    <xf numFmtId="1" fontId="7" fillId="9" borderId="0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12" borderId="0" xfId="0" applyFill="1" applyBorder="1"/>
    <xf numFmtId="0" fontId="0" fillId="12" borderId="0" xfId="0" applyFill="1"/>
    <xf numFmtId="0" fontId="7" fillId="12" borderId="13" xfId="0" applyFont="1" applyFill="1" applyBorder="1"/>
    <xf numFmtId="0" fontId="9" fillId="9" borderId="10" xfId="0" applyFont="1" applyFill="1" applyBorder="1"/>
    <xf numFmtId="0" fontId="7" fillId="9" borderId="11" xfId="0" applyFont="1" applyFill="1" applyBorder="1"/>
    <xf numFmtId="0" fontId="7" fillId="9" borderId="12" xfId="0" applyFont="1" applyFill="1" applyBorder="1"/>
    <xf numFmtId="0" fontId="7" fillId="9" borderId="10" xfId="0" applyFont="1" applyFill="1" applyBorder="1"/>
    <xf numFmtId="0" fontId="0" fillId="9" borderId="11" xfId="0" applyFill="1" applyBorder="1"/>
    <xf numFmtId="0" fontId="0" fillId="9" borderId="12" xfId="0" applyFill="1" applyBorder="1"/>
    <xf numFmtId="0" fontId="0" fillId="2" borderId="2" xfId="0" applyFill="1" applyBorder="1"/>
    <xf numFmtId="0" fontId="0" fillId="18" borderId="15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18" borderId="13" xfId="0" applyFill="1" applyBorder="1"/>
    <xf numFmtId="0" fontId="1" fillId="2" borderId="0" xfId="0" applyFont="1" applyFill="1" applyBorder="1"/>
    <xf numFmtId="0" fontId="1" fillId="2" borderId="8" xfId="0" applyFont="1" applyFill="1" applyBorder="1" applyAlignment="1">
      <alignment horizontal="left"/>
    </xf>
    <xf numFmtId="0" fontId="0" fillId="6" borderId="2" xfId="0" applyFill="1" applyBorder="1"/>
    <xf numFmtId="0" fontId="0" fillId="6" borderId="7" xfId="0" applyFill="1" applyBorder="1"/>
    <xf numFmtId="0" fontId="0" fillId="6" borderId="8" xfId="0" applyFill="1" applyBorder="1"/>
    <xf numFmtId="1" fontId="0" fillId="6" borderId="10" xfId="0" applyNumberForma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7" fillId="9" borderId="0" xfId="0" applyFont="1" applyFill="1" applyBorder="1" applyAlignment="1">
      <alignment horizontal="right"/>
    </xf>
    <xf numFmtId="0" fontId="0" fillId="6" borderId="10" xfId="0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0" fontId="7" fillId="9" borderId="0" xfId="0" applyFont="1" applyFill="1"/>
    <xf numFmtId="0" fontId="7" fillId="9" borderId="0" xfId="0" applyFont="1" applyFill="1" applyBorder="1"/>
    <xf numFmtId="0" fontId="13" fillId="9" borderId="0" xfId="0" applyFont="1" applyFill="1" applyBorder="1"/>
    <xf numFmtId="0" fontId="13" fillId="9" borderId="0" xfId="0" applyFont="1" applyFill="1"/>
    <xf numFmtId="0" fontId="13" fillId="0" borderId="0" xfId="0" applyFont="1" applyFill="1" applyBorder="1" applyAlignment="1"/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9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6" borderId="11" xfId="0" applyFill="1" applyBorder="1" applyAlignment="1">
      <alignment horizontal="center"/>
    </xf>
    <xf numFmtId="0" fontId="0" fillId="2" borderId="13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'User version'!$D$69</c:f>
              <c:strCache>
                <c:ptCount val="1"/>
                <c:pt idx="0">
                  <c:v>Default</c:v>
                </c:pt>
              </c:strCache>
            </c:strRef>
          </c:tx>
          <c:invertIfNegative val="0"/>
          <c:cat>
            <c:strRef>
              <c:f>'User version'!$C$70:$C$72</c:f>
              <c:strCache>
                <c:ptCount val="3"/>
                <c:pt idx="0">
                  <c:v>Subtropical arid</c:v>
                </c:pt>
                <c:pt idx="1">
                  <c:v>Temperate coastal</c:v>
                </c:pt>
                <c:pt idx="2">
                  <c:v>Temperate continental</c:v>
                </c:pt>
              </c:strCache>
            </c:strRef>
          </c:cat>
          <c:val>
            <c:numRef>
              <c:f>'User version'!$D$70:$D$72</c:f>
              <c:numCache>
                <c:formatCode>0.000</c:formatCode>
                <c:ptCount val="3"/>
                <c:pt idx="0">
                  <c:v>0.55006388647372806</c:v>
                </c:pt>
                <c:pt idx="1">
                  <c:v>0.56606790041207999</c:v>
                </c:pt>
                <c:pt idx="2">
                  <c:v>0.56191871161324802</c:v>
                </c:pt>
              </c:numCache>
            </c:numRef>
          </c:val>
        </c:ser>
        <c:ser>
          <c:idx val="1"/>
          <c:order val="1"/>
          <c:tx>
            <c:strRef>
              <c:f>'User version'!$E$69</c:f>
              <c:strCache>
                <c:ptCount val="1"/>
                <c:pt idx="0">
                  <c:v>User defined</c:v>
                </c:pt>
              </c:strCache>
            </c:strRef>
          </c:tx>
          <c:invertIfNegative val="0"/>
          <c:cat>
            <c:strRef>
              <c:f>'User version'!$C$70:$C$72</c:f>
              <c:strCache>
                <c:ptCount val="3"/>
                <c:pt idx="0">
                  <c:v>Subtropical arid</c:v>
                </c:pt>
                <c:pt idx="1">
                  <c:v>Temperate coastal</c:v>
                </c:pt>
                <c:pt idx="2">
                  <c:v>Temperate continental</c:v>
                </c:pt>
              </c:strCache>
            </c:strRef>
          </c:cat>
          <c:val>
            <c:numRef>
              <c:f>'User version'!$E$70:$E$72</c:f>
              <c:numCache>
                <c:formatCode>0.000</c:formatCode>
                <c:ptCount val="3"/>
                <c:pt idx="0">
                  <c:v>0.84711592237669497</c:v>
                </c:pt>
                <c:pt idx="1">
                  <c:v>0.87176261408377553</c:v>
                </c:pt>
                <c:pt idx="2">
                  <c:v>0.86537273104860646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287104"/>
        <c:axId val="174297088"/>
      </c:barChart>
      <c:catAx>
        <c:axId val="174287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60" baseline="0"/>
            </a:pPr>
            <a:endParaRPr lang="en-US"/>
          </a:p>
        </c:txPr>
        <c:crossAx val="174297088"/>
        <c:crosses val="autoZero"/>
        <c:auto val="1"/>
        <c:lblAlgn val="ctr"/>
        <c:lblOffset val="100"/>
        <c:noMultiLvlLbl val="0"/>
      </c:catAx>
      <c:valAx>
        <c:axId val="174297088"/>
        <c:scaling>
          <c:orientation val="minMax"/>
          <c:max val="1"/>
          <c:min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PV system Performance Ratio</a:t>
                </a:r>
              </a:p>
            </c:rich>
          </c:tx>
          <c:layout>
            <c:manualLayout>
              <c:xMode val="edge"/>
              <c:yMode val="edge"/>
              <c:x val="1.9444433852548092E-2"/>
              <c:y val="3.7351649806121427E-2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960" baseline="0"/>
            </a:pPr>
            <a:endParaRPr lang="en-US"/>
          </a:p>
        </c:txPr>
        <c:crossAx val="174287104"/>
        <c:crosses val="autoZero"/>
        <c:crossBetween val="between"/>
        <c:majorUnit val="5.000000000000001E-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63</xdr:row>
      <xdr:rowOff>123825</xdr:rowOff>
    </xdr:from>
    <xdr:to>
      <xdr:col>9</xdr:col>
      <xdr:colOff>1971674</xdr:colOff>
      <xdr:row>74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M249"/>
  <sheetViews>
    <sheetView tabSelected="1" topLeftCell="A91" workbookViewId="0">
      <selection activeCell="E106" sqref="E106"/>
    </sheetView>
  </sheetViews>
  <sheetFormatPr defaultRowHeight="15" x14ac:dyDescent="0.25"/>
  <cols>
    <col min="1" max="1" width="0.85546875" style="60" customWidth="1"/>
    <col min="2" max="2" width="12.140625" customWidth="1"/>
    <col min="3" max="3" width="30.5703125" customWidth="1"/>
    <col min="4" max="4" width="13.28515625" customWidth="1"/>
    <col min="5" max="5" width="12.42578125" customWidth="1"/>
    <col min="6" max="6" width="14.5703125" customWidth="1"/>
    <col min="7" max="7" width="13.42578125" customWidth="1"/>
    <col min="8" max="8" width="2.85546875" customWidth="1"/>
    <col min="9" max="9" width="9.140625" style="60"/>
    <col min="10" max="10" width="30.7109375" style="60" customWidth="1"/>
    <col min="11" max="11" width="10.7109375" style="60" customWidth="1"/>
    <col min="12" max="13" width="11.5703125" style="60" customWidth="1"/>
    <col min="14" max="14" width="11.140625" style="60" customWidth="1"/>
    <col min="15" max="15" width="13.28515625" style="60" customWidth="1"/>
    <col min="16" max="16" width="11.85546875" style="60" customWidth="1"/>
    <col min="17" max="17" width="2.85546875" style="60" customWidth="1"/>
    <col min="18" max="39" width="9.140625" style="60"/>
  </cols>
  <sheetData>
    <row r="1" spans="2:17" ht="6" customHeight="1" x14ac:dyDescent="0.25">
      <c r="B1" s="60"/>
      <c r="C1" s="60"/>
      <c r="D1" s="60"/>
      <c r="E1" s="60"/>
      <c r="F1" s="60"/>
      <c r="G1" s="60"/>
      <c r="H1" s="60"/>
    </row>
    <row r="2" spans="2:17" s="60" customFormat="1" ht="21" x14ac:dyDescent="0.35">
      <c r="B2" s="77" t="s">
        <v>0</v>
      </c>
      <c r="C2" s="78"/>
      <c r="D2" s="78"/>
      <c r="E2" s="78"/>
      <c r="F2" s="78"/>
      <c r="G2" s="79"/>
      <c r="H2" s="166"/>
      <c r="I2" s="76"/>
      <c r="J2" s="76"/>
      <c r="K2" s="76"/>
      <c r="L2" s="76"/>
      <c r="M2" s="76"/>
      <c r="N2" s="76"/>
      <c r="O2" s="76"/>
      <c r="P2" s="164"/>
      <c r="Q2" s="165"/>
    </row>
    <row r="3" spans="2:17" s="60" customFormat="1" ht="5.25" customHeight="1" x14ac:dyDescent="0.35">
      <c r="B3" s="167"/>
      <c r="C3" s="168"/>
      <c r="D3" s="168"/>
      <c r="E3" s="168"/>
      <c r="F3" s="168"/>
      <c r="G3" s="169"/>
      <c r="H3" s="170"/>
      <c r="I3" s="171"/>
      <c r="J3" s="171"/>
      <c r="K3" s="171"/>
      <c r="L3" s="171"/>
      <c r="M3" s="171"/>
      <c r="N3" s="171"/>
      <c r="O3" s="171"/>
      <c r="P3" s="171"/>
      <c r="Q3" s="172"/>
    </row>
    <row r="4" spans="2:17" s="60" customFormat="1" ht="21" x14ac:dyDescent="0.35">
      <c r="B4" s="122" t="s">
        <v>70</v>
      </c>
      <c r="C4" s="80"/>
      <c r="D4" s="80"/>
      <c r="E4" s="80"/>
      <c r="F4" s="80"/>
      <c r="G4" s="81"/>
      <c r="H4" s="84"/>
      <c r="I4" s="82" t="s">
        <v>11</v>
      </c>
      <c r="J4" s="80"/>
      <c r="K4" s="80"/>
      <c r="L4" s="80"/>
      <c r="M4" s="80"/>
      <c r="N4" s="80"/>
      <c r="O4" s="80"/>
      <c r="P4" s="80"/>
      <c r="Q4" s="81"/>
    </row>
    <row r="5" spans="2:17" s="60" customFormat="1" ht="4.5" customHeight="1" x14ac:dyDescent="0.25">
      <c r="B5" s="12"/>
      <c r="C5" s="4"/>
      <c r="D5" s="4"/>
      <c r="E5" s="4"/>
      <c r="F5" s="4"/>
      <c r="G5" s="5"/>
      <c r="H5" s="173"/>
      <c r="I5" s="1"/>
      <c r="J5" s="1"/>
      <c r="K5" s="1"/>
      <c r="L5" s="1"/>
      <c r="M5" s="1"/>
      <c r="N5" s="1"/>
      <c r="O5" s="1"/>
      <c r="P5" s="1"/>
      <c r="Q5" s="2"/>
    </row>
    <row r="6" spans="2:17" s="60" customFormat="1" ht="15" customHeight="1" x14ac:dyDescent="0.25">
      <c r="B6" s="125" t="s">
        <v>98</v>
      </c>
      <c r="C6" s="4"/>
      <c r="D6" s="4"/>
      <c r="E6" s="4"/>
      <c r="F6" s="4"/>
      <c r="G6" s="5"/>
      <c r="H6" s="3"/>
      <c r="I6" s="4"/>
      <c r="J6" s="7" t="s">
        <v>107</v>
      </c>
      <c r="K6" s="8" t="s">
        <v>27</v>
      </c>
      <c r="L6" s="153" t="str">
        <f>IF($K$6="N","Insert estimated losses in User values (%)","")</f>
        <v>Insert estimated losses in User values (%)</v>
      </c>
      <c r="M6" s="4"/>
      <c r="N6" s="4"/>
      <c r="O6" s="4"/>
      <c r="P6" s="4"/>
      <c r="Q6" s="5"/>
    </row>
    <row r="7" spans="2:17" s="60" customFormat="1" ht="3.75" customHeight="1" x14ac:dyDescent="0.35">
      <c r="B7" s="123"/>
      <c r="C7" s="4"/>
      <c r="D7" s="4"/>
      <c r="E7" s="4"/>
      <c r="F7" s="4"/>
      <c r="G7" s="5"/>
      <c r="H7" s="3"/>
      <c r="I7" s="4"/>
      <c r="J7" s="4"/>
      <c r="K7" s="4"/>
      <c r="L7" s="4"/>
      <c r="M7" s="4"/>
      <c r="N7" s="4"/>
      <c r="O7" s="4"/>
      <c r="P7" s="4"/>
      <c r="Q7" s="5"/>
    </row>
    <row r="8" spans="2:17" s="60" customFormat="1" ht="15" customHeight="1" x14ac:dyDescent="0.35">
      <c r="B8" s="123"/>
      <c r="C8" s="69" t="s">
        <v>99</v>
      </c>
      <c r="D8" s="127">
        <v>0</v>
      </c>
      <c r="E8" s="4"/>
      <c r="F8" s="4"/>
      <c r="G8" s="5"/>
      <c r="H8" s="3"/>
      <c r="I8" s="4"/>
      <c r="J8" s="4"/>
      <c r="K8" s="4"/>
      <c r="L8" s="180" t="str">
        <f>IF($K$6="N","Defined losses cannot be lower than Minimum values","")</f>
        <v>Defined losses cannot be lower than Minimum values</v>
      </c>
      <c r="M8" s="4"/>
      <c r="N8" s="4"/>
      <c r="O8" s="4"/>
      <c r="P8" s="4"/>
      <c r="Q8" s="5"/>
    </row>
    <row r="9" spans="2:17" s="60" customFormat="1" ht="15" customHeight="1" x14ac:dyDescent="0.35">
      <c r="B9" s="123"/>
      <c r="C9" s="126" t="s">
        <v>100</v>
      </c>
      <c r="D9" s="127">
        <v>20</v>
      </c>
      <c r="E9" s="4"/>
      <c r="F9" s="4"/>
      <c r="G9" s="5"/>
      <c r="H9" s="3"/>
      <c r="I9" s="4"/>
      <c r="J9" s="213" t="s">
        <v>12</v>
      </c>
      <c r="K9" s="211" t="s">
        <v>71</v>
      </c>
      <c r="L9" s="211" t="s">
        <v>119</v>
      </c>
      <c r="M9" s="211" t="s">
        <v>120</v>
      </c>
      <c r="N9" s="211" t="s">
        <v>121</v>
      </c>
      <c r="O9" s="211" t="s">
        <v>106</v>
      </c>
      <c r="P9" s="211" t="s">
        <v>105</v>
      </c>
      <c r="Q9" s="5"/>
    </row>
    <row r="10" spans="2:17" s="60" customFormat="1" ht="15" customHeight="1" x14ac:dyDescent="0.35">
      <c r="B10" s="123"/>
      <c r="C10" s="69" t="s">
        <v>102</v>
      </c>
      <c r="D10" s="128">
        <f>'CSER norm'!Q9</f>
        <v>1</v>
      </c>
      <c r="E10" s="4"/>
      <c r="F10" s="4"/>
      <c r="G10" s="5"/>
      <c r="H10" s="3"/>
      <c r="I10" s="4"/>
      <c r="J10" s="214"/>
      <c r="K10" s="211"/>
      <c r="L10" s="211"/>
      <c r="M10" s="211"/>
      <c r="N10" s="211"/>
      <c r="O10" s="211"/>
      <c r="P10" s="211"/>
      <c r="Q10" s="5"/>
    </row>
    <row r="11" spans="2:17" s="60" customFormat="1" ht="15" customHeight="1" x14ac:dyDescent="0.35">
      <c r="B11" s="123"/>
      <c r="C11" s="124"/>
      <c r="D11" s="129"/>
      <c r="E11" s="4"/>
      <c r="F11" s="4"/>
      <c r="G11" s="5"/>
      <c r="H11" s="3"/>
      <c r="I11" s="4"/>
      <c r="J11" s="7" t="s">
        <v>13</v>
      </c>
      <c r="K11" s="175">
        <v>3</v>
      </c>
      <c r="L11" s="175">
        <v>1.5</v>
      </c>
      <c r="M11" s="175">
        <v>2</v>
      </c>
      <c r="N11" s="175">
        <v>1.75</v>
      </c>
      <c r="O11" s="176">
        <v>1.5</v>
      </c>
      <c r="P11" s="174">
        <f>IF(O11&lt;L11,"Too low",IF(K11="","",IF($K$6="Y",K11,O11)))</f>
        <v>1.5</v>
      </c>
      <c r="Q11" s="5"/>
    </row>
    <row r="12" spans="2:17" s="60" customFormat="1" ht="15" customHeight="1" x14ac:dyDescent="0.35">
      <c r="B12" s="123"/>
      <c r="C12" s="69" t="s">
        <v>152</v>
      </c>
      <c r="D12" s="143">
        <v>3</v>
      </c>
      <c r="E12" s="4"/>
      <c r="F12" s="4"/>
      <c r="G12" s="5"/>
      <c r="H12" s="3"/>
      <c r="I12" s="4"/>
      <c r="J12" s="7" t="s">
        <v>14</v>
      </c>
      <c r="K12" s="130">
        <v>3</v>
      </c>
      <c r="L12" s="130">
        <v>1</v>
      </c>
      <c r="M12" s="130">
        <v>2</v>
      </c>
      <c r="N12" s="130">
        <v>1.5</v>
      </c>
      <c r="O12" s="162">
        <v>1</v>
      </c>
      <c r="P12" s="174">
        <f t="shared" ref="P12:P17" si="0">IF(O12&lt;L12,"Too low",IF(K12="","",IF($K$6="Y",K12,O12)))</f>
        <v>1</v>
      </c>
      <c r="Q12" s="5"/>
    </row>
    <row r="13" spans="2:17" s="60" customFormat="1" ht="15" customHeight="1" x14ac:dyDescent="0.35">
      <c r="B13" s="123"/>
      <c r="C13" s="124"/>
      <c r="D13" s="129"/>
      <c r="E13" s="4"/>
      <c r="F13" s="4"/>
      <c r="G13" s="5"/>
      <c r="H13" s="3"/>
      <c r="I13" s="4"/>
      <c r="J13" s="7" t="s">
        <v>15</v>
      </c>
      <c r="K13" s="130">
        <v>1</v>
      </c>
      <c r="L13" s="130">
        <v>0.3</v>
      </c>
      <c r="M13" s="130">
        <v>0.5</v>
      </c>
      <c r="N13" s="130">
        <v>0.4</v>
      </c>
      <c r="O13" s="162">
        <v>0.3</v>
      </c>
      <c r="P13" s="174">
        <f t="shared" si="0"/>
        <v>0.3</v>
      </c>
      <c r="Q13" s="5"/>
    </row>
    <row r="14" spans="2:17" s="60" customFormat="1" x14ac:dyDescent="0.25">
      <c r="B14" s="12" t="s">
        <v>2</v>
      </c>
      <c r="C14" s="4"/>
      <c r="D14" s="4"/>
      <c r="E14" s="4"/>
      <c r="F14" s="4"/>
      <c r="G14" s="5"/>
      <c r="H14" s="3"/>
      <c r="I14" s="4"/>
      <c r="J14" s="7" t="s">
        <v>16</v>
      </c>
      <c r="K14" s="130">
        <v>25</v>
      </c>
      <c r="L14" s="130">
        <v>2</v>
      </c>
      <c r="M14" s="130">
        <v>5</v>
      </c>
      <c r="N14" s="130">
        <v>3.5</v>
      </c>
      <c r="O14" s="162">
        <v>2</v>
      </c>
      <c r="P14" s="174">
        <f t="shared" si="0"/>
        <v>2</v>
      </c>
      <c r="Q14" s="5"/>
    </row>
    <row r="15" spans="2:17" s="60" customFormat="1" x14ac:dyDescent="0.25">
      <c r="B15" s="12"/>
      <c r="C15" s="4" t="s">
        <v>20</v>
      </c>
      <c r="D15" s="4"/>
      <c r="E15" s="4"/>
      <c r="F15" s="4"/>
      <c r="G15" s="5"/>
      <c r="H15" s="3"/>
      <c r="I15" s="4"/>
      <c r="J15" s="7" t="s">
        <v>17</v>
      </c>
      <c r="K15" s="130">
        <v>10</v>
      </c>
      <c r="L15" s="130">
        <v>0.1</v>
      </c>
      <c r="M15" s="130">
        <v>5</v>
      </c>
      <c r="N15" s="130">
        <v>2.5</v>
      </c>
      <c r="O15" s="162">
        <v>0.1</v>
      </c>
      <c r="P15" s="174">
        <f t="shared" si="0"/>
        <v>0.1</v>
      </c>
      <c r="Q15" s="5"/>
    </row>
    <row r="16" spans="2:17" s="60" customFormat="1" x14ac:dyDescent="0.25">
      <c r="B16" s="12"/>
      <c r="C16" s="7" t="s">
        <v>21</v>
      </c>
      <c r="D16" s="35">
        <v>370</v>
      </c>
      <c r="E16" s="4"/>
      <c r="F16" s="4"/>
      <c r="G16" s="5"/>
      <c r="H16" s="3"/>
      <c r="I16" s="4"/>
      <c r="J16" s="7" t="s">
        <v>18</v>
      </c>
      <c r="K16" s="130">
        <v>2</v>
      </c>
      <c r="L16" s="130">
        <v>0.7</v>
      </c>
      <c r="M16" s="130">
        <v>1</v>
      </c>
      <c r="N16" s="130">
        <v>0.85</v>
      </c>
      <c r="O16" s="162">
        <v>0.7</v>
      </c>
      <c r="P16" s="174">
        <f t="shared" si="0"/>
        <v>0.7</v>
      </c>
      <c r="Q16" s="5"/>
    </row>
    <row r="17" spans="2:18" s="60" customFormat="1" ht="17.25" x14ac:dyDescent="0.25">
      <c r="B17" s="12"/>
      <c r="C17" s="7" t="s">
        <v>97</v>
      </c>
      <c r="D17" s="131">
        <v>1.657</v>
      </c>
      <c r="E17" s="4"/>
      <c r="F17" s="4"/>
      <c r="G17" s="5"/>
      <c r="H17" s="3"/>
      <c r="I17" s="4"/>
      <c r="J17" s="7" t="s">
        <v>19</v>
      </c>
      <c r="K17" s="130">
        <v>1.8</v>
      </c>
      <c r="L17" s="130">
        <v>0.1</v>
      </c>
      <c r="M17" s="130">
        <v>1</v>
      </c>
      <c r="N17" s="130">
        <v>0.55000000000000004</v>
      </c>
      <c r="O17" s="162">
        <v>0.1</v>
      </c>
      <c r="P17" s="174">
        <f t="shared" si="0"/>
        <v>0.1</v>
      </c>
      <c r="Q17" s="5"/>
    </row>
    <row r="18" spans="2:18" s="60" customFormat="1" x14ac:dyDescent="0.25">
      <c r="B18" s="12"/>
      <c r="C18" s="7" t="s">
        <v>101</v>
      </c>
      <c r="D18" s="130">
        <f>100*D16/(1000*D17)</f>
        <v>22.329511164755584</v>
      </c>
      <c r="E18" s="4"/>
      <c r="F18" s="4"/>
      <c r="G18" s="5"/>
      <c r="H18" s="3"/>
      <c r="I18" s="4"/>
      <c r="J18" s="7" t="s">
        <v>28</v>
      </c>
      <c r="K18" s="130"/>
      <c r="L18" s="130"/>
      <c r="M18" s="130"/>
      <c r="N18" s="130"/>
      <c r="O18" s="162"/>
      <c r="P18" s="145" t="str">
        <f>IF(K18="","",IF($K$6="Y",K18,O18))</f>
        <v/>
      </c>
      <c r="Q18" s="5"/>
    </row>
    <row r="19" spans="2:18" s="60" customFormat="1" x14ac:dyDescent="0.25">
      <c r="B19" s="12"/>
      <c r="C19" s="4"/>
      <c r="D19" s="4"/>
      <c r="E19" s="4"/>
      <c r="F19" s="4"/>
      <c r="G19" s="5"/>
      <c r="H19" s="3"/>
      <c r="I19" s="4"/>
      <c r="J19" s="7" t="s">
        <v>28</v>
      </c>
      <c r="K19" s="130"/>
      <c r="L19" s="130"/>
      <c r="M19" s="130"/>
      <c r="N19" s="130"/>
      <c r="O19" s="177"/>
      <c r="P19" s="145" t="str">
        <f>IF(K19="","",IF($K$6="Y",K19,O19))</f>
        <v/>
      </c>
      <c r="Q19" s="5"/>
    </row>
    <row r="20" spans="2:18" s="60" customFormat="1" ht="15.75" thickBot="1" x14ac:dyDescent="0.3">
      <c r="B20" s="3"/>
      <c r="C20" s="4" t="s">
        <v>9</v>
      </c>
      <c r="D20" s="6"/>
      <c r="E20" s="4"/>
      <c r="F20" s="4"/>
      <c r="G20" s="5"/>
      <c r="H20" s="3"/>
      <c r="I20" s="4"/>
      <c r="J20" s="7" t="s">
        <v>28</v>
      </c>
      <c r="K20" s="163"/>
      <c r="L20" s="130"/>
      <c r="M20" s="163"/>
      <c r="N20" s="130"/>
      <c r="O20" s="178" t="str">
        <f>IF(K20="","",IF($K$6="Y",K20,M20))</f>
        <v/>
      </c>
      <c r="P20" s="179"/>
      <c r="Q20" s="5"/>
    </row>
    <row r="21" spans="2:18" s="60" customFormat="1" ht="18" thickBot="1" x14ac:dyDescent="0.3">
      <c r="B21" s="3"/>
      <c r="C21" s="69" t="s">
        <v>3</v>
      </c>
      <c r="D21" s="70" t="s">
        <v>1</v>
      </c>
      <c r="E21" s="215" t="s">
        <v>54</v>
      </c>
      <c r="F21" s="205"/>
      <c r="G21" s="5"/>
      <c r="H21" s="3"/>
      <c r="I21" s="4"/>
      <c r="J21" s="4"/>
      <c r="K21" s="83">
        <f>100*(1-IF(D27="N",(1-0.01*K11)*(1-0.01*K12)*(1-0.01*K13)*(1-0.01*K14)*(1-0.01*K15)*(1-0.01*K17)*IF(K18="",1,(1-0.01*K18))*IF(K19="",1,(1-0.01*K19))*IF(K20="",1,(1-0.01*K20)),(1-0.01*K11)*(1-0.01*K13)*(1-0.01*K14)*(1-0.01*K15)*(1-0.01*K16)*(1-0.01*K17)*IF(K18="",1,(1-0.01*K18))*IF(K19="",1,(1-0.01*K19))*IF(K20="",1,(1-0.01*K20))))</f>
        <v>38.256119064999993</v>
      </c>
      <c r="L21" s="138"/>
      <c r="M21" s="138"/>
      <c r="N21" s="138"/>
      <c r="O21" s="4"/>
      <c r="P21" s="83">
        <f>100*(1-IF(D27="N",(1-0.01*P11)*(1-0.01*P12)*(1-0.01*P13)*(1-0.01*P14)*(1-0.01*P15)*(1-0.01*P17)*IF(P18="",1,(1-0.01*P18))*IF(P19="",1,(1-0.01*P19))*IF(O20="",1,(1-0.01*O20)),(1-0.01*P11)*(1-0.01*P13)*(1-0.01*P14)*(1-0.01*P15)*(1-0.01*P16)*(1-0.01*P17)*IF(P18="",1,(1-0.01*P18))*IF(P19="",1,(1-0.01*P19))*IF(O20="",1,(1-0.01*O20))))</f>
        <v>4.9124548337941114</v>
      </c>
      <c r="Q21" s="5"/>
    </row>
    <row r="22" spans="2:18" s="60" customFormat="1" x14ac:dyDescent="0.25">
      <c r="B22" s="3"/>
      <c r="C22" s="7" t="s">
        <v>4</v>
      </c>
      <c r="D22" s="35">
        <v>0.92800000000000005</v>
      </c>
      <c r="E22" s="216">
        <v>2295.4520000000002</v>
      </c>
      <c r="F22" s="200"/>
      <c r="G22" s="5"/>
      <c r="H22" s="9"/>
      <c r="I22" s="10"/>
      <c r="J22" s="10"/>
      <c r="K22" s="10"/>
      <c r="L22" s="139"/>
      <c r="M22" s="181" t="str">
        <f>F54</f>
        <v/>
      </c>
      <c r="N22" s="10"/>
      <c r="O22" s="10"/>
      <c r="P22" s="10"/>
      <c r="Q22" s="11"/>
    </row>
    <row r="23" spans="2:18" s="60" customFormat="1" x14ac:dyDescent="0.25">
      <c r="B23" s="3"/>
      <c r="C23" s="7" t="s">
        <v>5</v>
      </c>
      <c r="D23" s="35">
        <v>0.95499999999999996</v>
      </c>
      <c r="E23" s="216">
        <v>972.93399999999997</v>
      </c>
      <c r="F23" s="200"/>
      <c r="G23" s="5"/>
    </row>
    <row r="24" spans="2:18" s="60" customFormat="1" x14ac:dyDescent="0.25">
      <c r="B24" s="3"/>
      <c r="C24" s="7" t="s">
        <v>6</v>
      </c>
      <c r="D24" s="35">
        <v>0.94799999999999995</v>
      </c>
      <c r="E24" s="216">
        <v>1266.0029999999999</v>
      </c>
      <c r="F24" s="200"/>
      <c r="G24" s="5"/>
    </row>
    <row r="25" spans="2:18" s="60" customFormat="1" x14ac:dyDescent="0.25">
      <c r="B25" s="9"/>
      <c r="C25" s="10"/>
      <c r="D25" s="10"/>
      <c r="E25" s="10"/>
      <c r="F25" s="10"/>
      <c r="G25" s="11"/>
      <c r="P25" s="53"/>
      <c r="Q25" s="53"/>
      <c r="R25" s="53"/>
    </row>
    <row r="26" spans="2:18" s="60" customFormat="1" x14ac:dyDescent="0.25">
      <c r="B26" s="12" t="s">
        <v>7</v>
      </c>
      <c r="C26" s="4"/>
      <c r="D26" s="4"/>
      <c r="E26" s="4"/>
      <c r="F26" s="4"/>
      <c r="G26" s="5"/>
      <c r="O26" s="53"/>
      <c r="P26" s="62"/>
      <c r="Q26" s="53"/>
      <c r="R26" s="53"/>
    </row>
    <row r="27" spans="2:18" s="60" customFormat="1" x14ac:dyDescent="0.25">
      <c r="B27" s="12"/>
      <c r="C27" s="7" t="s">
        <v>26</v>
      </c>
      <c r="D27" s="35" t="s">
        <v>27</v>
      </c>
      <c r="E27" s="4"/>
      <c r="F27" s="4"/>
      <c r="G27" s="5"/>
      <c r="O27" s="53"/>
      <c r="P27" s="62"/>
      <c r="Q27" s="53"/>
      <c r="R27" s="53"/>
    </row>
    <row r="28" spans="2:18" s="60" customFormat="1" x14ac:dyDescent="0.25">
      <c r="B28" s="12"/>
      <c r="C28" s="7" t="s">
        <v>103</v>
      </c>
      <c r="D28" s="35">
        <v>2.75</v>
      </c>
      <c r="E28" s="4"/>
      <c r="F28" s="4"/>
      <c r="G28" s="5"/>
      <c r="O28" s="53"/>
      <c r="P28" s="62"/>
      <c r="Q28" s="53"/>
      <c r="R28" s="53"/>
    </row>
    <row r="29" spans="2:18" s="60" customFormat="1" x14ac:dyDescent="0.25">
      <c r="B29" s="12"/>
      <c r="C29" s="4"/>
      <c r="D29" s="4"/>
      <c r="E29" s="4"/>
      <c r="F29" s="4"/>
      <c r="G29" s="5"/>
      <c r="O29" s="53"/>
      <c r="P29" s="62"/>
      <c r="Q29" s="53"/>
      <c r="R29" s="53"/>
    </row>
    <row r="30" spans="2:18" s="60" customFormat="1" x14ac:dyDescent="0.25">
      <c r="B30" s="3"/>
      <c r="C30" s="4" t="s">
        <v>8</v>
      </c>
      <c r="D30" s="4"/>
      <c r="E30" s="4"/>
      <c r="F30" s="4"/>
      <c r="G30" s="5"/>
      <c r="J30" s="53"/>
      <c r="O30" s="53"/>
      <c r="P30" s="201"/>
      <c r="Q30" s="53"/>
      <c r="R30" s="53"/>
    </row>
    <row r="31" spans="2:18" s="60" customFormat="1" x14ac:dyDescent="0.25">
      <c r="B31" s="3"/>
      <c r="C31" s="66" t="s">
        <v>10</v>
      </c>
      <c r="D31" s="35">
        <v>96</v>
      </c>
      <c r="E31" s="4"/>
      <c r="F31" s="4"/>
      <c r="G31" s="5"/>
      <c r="J31" s="53"/>
      <c r="O31" s="53"/>
      <c r="P31" s="201"/>
      <c r="Q31" s="53"/>
      <c r="R31" s="53"/>
    </row>
    <row r="32" spans="2:18" s="60" customFormat="1" x14ac:dyDescent="0.25">
      <c r="B32" s="9"/>
      <c r="C32" s="10"/>
      <c r="D32" s="10"/>
      <c r="E32" s="10"/>
      <c r="F32" s="10"/>
      <c r="G32" s="11"/>
      <c r="O32" s="53"/>
    </row>
    <row r="33" spans="2:14" s="60" customFormat="1" x14ac:dyDescent="0.25"/>
    <row r="34" spans="2:14" s="60" customFormat="1" x14ac:dyDescent="0.25"/>
    <row r="35" spans="2:14" s="60" customFormat="1" ht="21" x14ac:dyDescent="0.35">
      <c r="B35" s="86" t="s">
        <v>79</v>
      </c>
      <c r="C35" s="87"/>
      <c r="D35" s="87"/>
      <c r="E35" s="87"/>
      <c r="F35" s="87"/>
      <c r="G35" s="87"/>
      <c r="H35" s="87"/>
      <c r="I35" s="87"/>
      <c r="J35" s="88"/>
      <c r="K35" s="53"/>
      <c r="L35" s="53"/>
      <c r="M35" s="53"/>
      <c r="N35" s="53"/>
    </row>
    <row r="36" spans="2:14" s="60" customFormat="1" ht="5.25" customHeight="1" x14ac:dyDescent="0.25">
      <c r="B36" s="52"/>
      <c r="C36" s="53"/>
      <c r="D36" s="53"/>
      <c r="E36" s="53"/>
      <c r="F36" s="53"/>
      <c r="G36" s="53"/>
      <c r="H36" s="53"/>
      <c r="I36" s="53"/>
      <c r="J36" s="54"/>
      <c r="K36" s="53"/>
      <c r="L36" s="53"/>
      <c r="M36" s="53"/>
      <c r="N36" s="53"/>
    </row>
    <row r="37" spans="2:14" s="60" customFormat="1" ht="21" x14ac:dyDescent="0.35">
      <c r="B37" s="14" t="s">
        <v>24</v>
      </c>
      <c r="C37" s="15"/>
      <c r="D37" s="15"/>
      <c r="E37" s="15"/>
      <c r="F37" s="15"/>
      <c r="G37" s="15"/>
      <c r="H37" s="15"/>
      <c r="I37" s="15"/>
      <c r="J37" s="16"/>
      <c r="K37" s="61"/>
      <c r="L37" s="61"/>
      <c r="M37" s="53"/>
      <c r="N37" s="53"/>
    </row>
    <row r="38" spans="2:14" s="60" customFormat="1" ht="4.5" customHeight="1" x14ac:dyDescent="0.35">
      <c r="B38" s="140"/>
      <c r="C38" s="72"/>
      <c r="D38" s="72"/>
      <c r="E38" s="72"/>
      <c r="F38" s="72"/>
      <c r="G38" s="72"/>
      <c r="H38" s="72"/>
      <c r="I38" s="18"/>
      <c r="J38" s="23"/>
      <c r="K38" s="62"/>
      <c r="L38" s="62"/>
      <c r="M38" s="53"/>
      <c r="N38" s="53"/>
    </row>
    <row r="39" spans="2:14" s="60" customFormat="1" ht="15" customHeight="1" x14ac:dyDescent="0.25">
      <c r="B39" s="20" t="s">
        <v>109</v>
      </c>
      <c r="C39" s="18"/>
      <c r="D39" s="18"/>
      <c r="E39" s="18"/>
      <c r="F39" s="18"/>
      <c r="G39" s="18"/>
      <c r="H39" s="18"/>
      <c r="I39" s="18"/>
      <c r="J39" s="19"/>
      <c r="K39" s="62"/>
      <c r="L39" s="62"/>
      <c r="M39" s="53"/>
      <c r="N39" s="53"/>
    </row>
    <row r="40" spans="2:14" s="60" customFormat="1" ht="4.5" customHeight="1" x14ac:dyDescent="0.25">
      <c r="B40" s="20"/>
      <c r="C40" s="18"/>
      <c r="D40" s="18"/>
      <c r="E40" s="18"/>
      <c r="F40" s="18"/>
      <c r="G40" s="18"/>
      <c r="H40" s="18"/>
      <c r="I40" s="18"/>
      <c r="J40" s="19"/>
      <c r="K40" s="62"/>
      <c r="L40" s="62"/>
      <c r="M40" s="53"/>
      <c r="N40" s="53"/>
    </row>
    <row r="41" spans="2:14" s="60" customFormat="1" ht="15" customHeight="1" x14ac:dyDescent="0.35">
      <c r="B41" s="142"/>
      <c r="C41" s="155" t="str">
        <f>C12</f>
        <v>User requested PV power (kW)</v>
      </c>
      <c r="D41" s="156">
        <f>D12</f>
        <v>3</v>
      </c>
      <c r="E41" s="18"/>
      <c r="F41" s="18"/>
      <c r="G41" s="18"/>
      <c r="H41" s="18"/>
      <c r="I41" s="18"/>
      <c r="J41" s="19"/>
      <c r="K41" s="62"/>
      <c r="L41" s="62"/>
      <c r="M41" s="53"/>
      <c r="N41" s="53"/>
    </row>
    <row r="42" spans="2:14" s="60" customFormat="1" ht="15" customHeight="1" x14ac:dyDescent="0.35">
      <c r="B42" s="142"/>
      <c r="C42" s="155" t="s">
        <v>117</v>
      </c>
      <c r="D42" s="158">
        <f>ROUNDUP(($D$41/1)*(1000/$D$16),0)</f>
        <v>9</v>
      </c>
      <c r="E42" s="18"/>
      <c r="F42" s="18"/>
      <c r="G42" s="18"/>
      <c r="H42" s="18"/>
      <c r="I42" s="18"/>
      <c r="J42" s="19"/>
      <c r="K42" s="62"/>
      <c r="L42" s="62"/>
      <c r="M42" s="53"/>
      <c r="N42" s="53"/>
    </row>
    <row r="43" spans="2:14" s="60" customFormat="1" ht="16.5" customHeight="1" x14ac:dyDescent="0.35">
      <c r="B43" s="142"/>
      <c r="C43" s="155" t="s">
        <v>108</v>
      </c>
      <c r="D43" s="152">
        <f>$D$42*$D$16*0.001</f>
        <v>3.33</v>
      </c>
      <c r="E43" s="218"/>
      <c r="F43" s="218"/>
      <c r="G43" s="149"/>
      <c r="H43" s="18"/>
      <c r="I43" s="18"/>
      <c r="J43" s="19"/>
      <c r="K43" s="62"/>
      <c r="L43" s="62"/>
      <c r="M43" s="53"/>
      <c r="N43" s="53"/>
    </row>
    <row r="44" spans="2:14" s="60" customFormat="1" ht="15" customHeight="1" x14ac:dyDescent="0.35">
      <c r="B44" s="142"/>
      <c r="C44" s="157" t="s">
        <v>118</v>
      </c>
      <c r="D44" s="152">
        <f>$D$42*$D$17</f>
        <v>14.913</v>
      </c>
      <c r="E44" s="197"/>
      <c r="F44" s="197"/>
      <c r="G44" s="144"/>
      <c r="H44" s="18"/>
      <c r="I44" s="18"/>
      <c r="J44" s="19"/>
      <c r="K44" s="62"/>
      <c r="L44" s="62"/>
      <c r="M44" s="53"/>
      <c r="N44" s="53"/>
    </row>
    <row r="45" spans="2:14" s="60" customFormat="1" ht="15" customHeight="1" x14ac:dyDescent="0.35">
      <c r="B45" s="142"/>
      <c r="C45" s="18"/>
      <c r="D45" s="132"/>
      <c r="E45" s="18"/>
      <c r="F45" s="18"/>
      <c r="G45" s="18"/>
      <c r="H45" s="18"/>
      <c r="I45" s="18"/>
      <c r="J45" s="19"/>
      <c r="K45" s="62"/>
      <c r="L45" s="62"/>
      <c r="M45" s="53"/>
      <c r="N45" s="53"/>
    </row>
    <row r="46" spans="2:14" s="60" customFormat="1" ht="15" customHeight="1" x14ac:dyDescent="0.25">
      <c r="B46" s="20" t="s">
        <v>110</v>
      </c>
      <c r="C46" s="18"/>
      <c r="D46" s="132"/>
      <c r="E46" s="18"/>
      <c r="F46" s="18"/>
      <c r="G46" s="18"/>
      <c r="H46" s="18"/>
      <c r="I46" s="18"/>
      <c r="J46" s="19"/>
      <c r="K46" s="62"/>
      <c r="L46" s="62"/>
      <c r="M46" s="53"/>
      <c r="N46" s="53"/>
    </row>
    <row r="47" spans="2:14" s="60" customFormat="1" ht="3.75" customHeight="1" x14ac:dyDescent="0.35">
      <c r="B47" s="142"/>
      <c r="C47" s="18"/>
      <c r="D47" s="132"/>
      <c r="E47" s="18"/>
      <c r="F47" s="18"/>
      <c r="G47" s="18"/>
      <c r="H47" s="18"/>
      <c r="I47" s="18"/>
      <c r="J47" s="19"/>
      <c r="K47" s="62"/>
      <c r="L47" s="62"/>
      <c r="M47" s="53"/>
      <c r="N47" s="53"/>
    </row>
    <row r="48" spans="2:14" s="60" customFormat="1" ht="15" customHeight="1" x14ac:dyDescent="0.35">
      <c r="B48" s="142"/>
      <c r="C48" s="32" t="str">
        <f>C28</f>
        <v>AC rated power (kW)</v>
      </c>
      <c r="D48" s="133">
        <f>D28</f>
        <v>2.75</v>
      </c>
      <c r="E48" s="18"/>
      <c r="F48" s="18"/>
      <c r="G48" s="18"/>
      <c r="H48" s="18"/>
      <c r="I48" s="18"/>
      <c r="J48" s="19"/>
      <c r="K48" s="62"/>
      <c r="L48" s="62"/>
      <c r="M48" s="53"/>
      <c r="N48" s="53"/>
    </row>
    <row r="49" spans="2:14" s="60" customFormat="1" ht="15" customHeight="1" x14ac:dyDescent="0.35">
      <c r="B49" s="142"/>
      <c r="C49" s="32" t="s">
        <v>111</v>
      </c>
      <c r="D49" s="24">
        <f>$D$43/$D$48</f>
        <v>1.2109090909090909</v>
      </c>
      <c r="E49" s="141" t="str">
        <f>IF(D49&gt;1.25,"Warning: Consider increase size of inverter","")</f>
        <v/>
      </c>
      <c r="F49" s="18"/>
      <c r="G49" s="18"/>
      <c r="H49" s="18"/>
      <c r="I49" s="18"/>
      <c r="J49" s="19"/>
      <c r="K49" s="62"/>
      <c r="L49" s="62"/>
      <c r="M49" s="53"/>
      <c r="N49" s="53"/>
    </row>
    <row r="50" spans="2:14" s="60" customFormat="1" x14ac:dyDescent="0.25">
      <c r="B50" s="17"/>
      <c r="C50" s="18"/>
      <c r="D50" s="18"/>
      <c r="E50" s="18"/>
      <c r="F50" s="18"/>
      <c r="G50" s="18"/>
      <c r="H50" s="18"/>
      <c r="I50" s="18"/>
      <c r="J50" s="19"/>
      <c r="K50" s="62"/>
      <c r="L50" s="62"/>
      <c r="M50" s="53"/>
      <c r="N50" s="53"/>
    </row>
    <row r="51" spans="2:14" s="60" customFormat="1" x14ac:dyDescent="0.25">
      <c r="B51" s="20" t="s">
        <v>29</v>
      </c>
      <c r="C51" s="18"/>
      <c r="D51" s="18"/>
      <c r="E51" s="132"/>
      <c r="F51" s="119"/>
      <c r="G51" s="18"/>
      <c r="H51" s="18"/>
      <c r="I51" s="18"/>
      <c r="J51" s="19"/>
      <c r="K51" s="62"/>
      <c r="L51" s="62"/>
      <c r="M51" s="53"/>
      <c r="N51" s="53"/>
    </row>
    <row r="52" spans="2:14" s="60" customFormat="1" x14ac:dyDescent="0.25">
      <c r="B52" s="20"/>
      <c r="C52" s="18"/>
      <c r="D52" s="18"/>
      <c r="E52" s="133" t="s">
        <v>22</v>
      </c>
      <c r="F52" s="18"/>
      <c r="G52" s="18"/>
      <c r="H52" s="18"/>
      <c r="I52" s="18"/>
      <c r="J52" s="19"/>
      <c r="K52" s="62"/>
      <c r="L52" s="62"/>
      <c r="M52" s="53"/>
      <c r="N52" s="53"/>
    </row>
    <row r="53" spans="2:14" s="60" customFormat="1" x14ac:dyDescent="0.25">
      <c r="B53" s="17"/>
      <c r="C53" s="22" t="s">
        <v>25</v>
      </c>
      <c r="D53" s="23"/>
      <c r="E53" s="24">
        <f>K21</f>
        <v>38.256119064999993</v>
      </c>
      <c r="F53" s="119"/>
      <c r="G53" s="18"/>
      <c r="H53" s="18"/>
      <c r="I53" s="18"/>
      <c r="J53" s="19"/>
      <c r="K53" s="53"/>
      <c r="L53" s="53"/>
      <c r="M53" s="53"/>
      <c r="N53" s="53"/>
    </row>
    <row r="54" spans="2:14" s="60" customFormat="1" x14ac:dyDescent="0.25">
      <c r="B54" s="17"/>
      <c r="C54" s="25" t="s">
        <v>72</v>
      </c>
      <c r="D54" s="13"/>
      <c r="E54" s="24">
        <f>IF($O$11*$O$12*$O$13*$O$14*$O$15*$O$16*$O$17=0,"Error!",P21)</f>
        <v>4.9124548337941114</v>
      </c>
      <c r="F54" s="137" t="str">
        <f>IF($O$11*$O$12*$O$13*$O$14*$O$15*$O$16*$O$17=0,"  Warning: Losses cannot be 0%. Define a new value","")</f>
        <v/>
      </c>
      <c r="G54" s="18"/>
      <c r="H54" s="18"/>
      <c r="I54" s="18"/>
      <c r="J54" s="19"/>
      <c r="K54" s="53"/>
      <c r="L54" s="53"/>
      <c r="M54" s="53"/>
      <c r="N54" s="53"/>
    </row>
    <row r="55" spans="2:14" s="60" customFormat="1" x14ac:dyDescent="0.25">
      <c r="B55" s="17"/>
      <c r="C55" s="18"/>
      <c r="D55" s="18"/>
      <c r="E55" s="144"/>
      <c r="F55" s="137"/>
      <c r="G55" s="18"/>
      <c r="H55" s="18"/>
      <c r="I55" s="18"/>
      <c r="J55" s="19"/>
    </row>
    <row r="56" spans="2:14" s="60" customFormat="1" ht="21" x14ac:dyDescent="0.35">
      <c r="B56" s="14" t="s">
        <v>23</v>
      </c>
      <c r="C56" s="15"/>
      <c r="D56" s="15"/>
      <c r="E56" s="15"/>
      <c r="F56" s="15"/>
      <c r="G56" s="15"/>
      <c r="H56" s="15"/>
      <c r="I56" s="15"/>
      <c r="J56" s="16"/>
    </row>
    <row r="57" spans="2:14" s="60" customFormat="1" ht="6" customHeight="1" x14ac:dyDescent="0.25">
      <c r="B57" s="17"/>
      <c r="C57" s="18"/>
      <c r="D57" s="18"/>
      <c r="E57" s="18"/>
      <c r="F57" s="18"/>
      <c r="G57" s="18"/>
      <c r="H57" s="18"/>
      <c r="I57" s="18"/>
      <c r="J57" s="19"/>
    </row>
    <row r="58" spans="2:14" s="60" customFormat="1" x14ac:dyDescent="0.25">
      <c r="B58" s="20" t="s">
        <v>30</v>
      </c>
      <c r="C58" s="18"/>
      <c r="D58" s="18"/>
      <c r="E58" s="18"/>
      <c r="F58" s="18"/>
      <c r="G58" s="18"/>
      <c r="H58" s="18"/>
      <c r="I58" s="18"/>
      <c r="J58" s="19"/>
    </row>
    <row r="59" spans="2:14" s="60" customFormat="1" x14ac:dyDescent="0.25">
      <c r="B59" s="28"/>
      <c r="C59" s="18"/>
      <c r="D59" s="21" t="s">
        <v>2</v>
      </c>
      <c r="E59" s="217"/>
      <c r="F59" s="218"/>
      <c r="G59" s="218"/>
      <c r="H59" s="18"/>
      <c r="I59" s="18"/>
      <c r="J59" s="19"/>
    </row>
    <row r="60" spans="2:14" s="60" customFormat="1" x14ac:dyDescent="0.25">
      <c r="B60" s="28"/>
      <c r="C60" s="18"/>
      <c r="D60" s="29" t="s">
        <v>31</v>
      </c>
      <c r="E60" s="204" t="s">
        <v>11</v>
      </c>
      <c r="F60" s="205"/>
      <c r="G60" s="118"/>
      <c r="H60" s="85"/>
      <c r="I60" s="85"/>
      <c r="J60" s="73"/>
    </row>
    <row r="61" spans="2:14" s="60" customFormat="1" x14ac:dyDescent="0.25">
      <c r="B61" s="28"/>
      <c r="C61" s="25" t="s">
        <v>3</v>
      </c>
      <c r="D61" s="30" t="s">
        <v>7</v>
      </c>
      <c r="E61" s="31" t="s">
        <v>73</v>
      </c>
      <c r="F61" s="31" t="s">
        <v>74</v>
      </c>
      <c r="G61" s="71"/>
      <c r="H61" s="197"/>
      <c r="I61" s="197"/>
      <c r="J61" s="74"/>
    </row>
    <row r="62" spans="2:14" s="60" customFormat="1" x14ac:dyDescent="0.25">
      <c r="B62" s="28"/>
      <c r="C62" s="32" t="s">
        <v>4</v>
      </c>
      <c r="D62" s="33">
        <f>D22*$D$10*(0.01*$D$31)</f>
        <v>0.89088000000000001</v>
      </c>
      <c r="E62" s="120">
        <f>1-0.01*$E$53</f>
        <v>0.61743880935000006</v>
      </c>
      <c r="F62" s="120">
        <f>1-0.01*$E$54</f>
        <v>0.95087545166205889</v>
      </c>
      <c r="G62" s="121"/>
      <c r="H62" s="202"/>
      <c r="I62" s="202"/>
      <c r="J62" s="75"/>
    </row>
    <row r="63" spans="2:14" s="60" customFormat="1" x14ac:dyDescent="0.25">
      <c r="B63" s="28"/>
      <c r="C63" s="32" t="s">
        <v>5</v>
      </c>
      <c r="D63" s="33">
        <f>D23*$D$10*(0.01*$D$31)</f>
        <v>0.91679999999999995</v>
      </c>
      <c r="E63" s="120">
        <f t="shared" ref="E63" si="1">1-0.01*$E$53</f>
        <v>0.61743880935000006</v>
      </c>
      <c r="F63" s="120">
        <f t="shared" ref="F63:F64" si="2">1-0.01*$E$54</f>
        <v>0.95087545166205889</v>
      </c>
      <c r="G63" s="121"/>
      <c r="H63" s="202"/>
      <c r="I63" s="203"/>
      <c r="J63" s="75"/>
    </row>
    <row r="64" spans="2:14" s="60" customFormat="1" x14ac:dyDescent="0.25">
      <c r="B64" s="28"/>
      <c r="C64" s="32" t="s">
        <v>6</v>
      </c>
      <c r="D64" s="33">
        <f>D24*$D$10*(0.01*$D$31)</f>
        <v>0.91007999999999989</v>
      </c>
      <c r="E64" s="120">
        <f>1-0.01*$E$53</f>
        <v>0.61743880935000006</v>
      </c>
      <c r="F64" s="120">
        <f t="shared" si="2"/>
        <v>0.95087545166205889</v>
      </c>
      <c r="G64" s="121"/>
      <c r="H64" s="202"/>
      <c r="I64" s="203"/>
      <c r="J64" s="75"/>
    </row>
    <row r="65" spans="2:10" s="60" customFormat="1" x14ac:dyDescent="0.25">
      <c r="B65" s="28"/>
      <c r="C65" s="18"/>
      <c r="D65" s="18"/>
      <c r="E65" s="18"/>
      <c r="F65" s="18"/>
      <c r="G65" s="18"/>
      <c r="H65" s="18"/>
      <c r="I65" s="18"/>
      <c r="J65" s="19"/>
    </row>
    <row r="66" spans="2:10" s="60" customFormat="1" x14ac:dyDescent="0.25">
      <c r="B66" s="28"/>
      <c r="C66" s="18"/>
      <c r="D66" s="18"/>
      <c r="E66" s="18"/>
      <c r="F66" s="18"/>
      <c r="G66" s="18"/>
      <c r="H66" s="18"/>
      <c r="I66" s="18"/>
      <c r="J66" s="19"/>
    </row>
    <row r="67" spans="2:10" s="60" customFormat="1" x14ac:dyDescent="0.25">
      <c r="B67" s="20" t="s">
        <v>32</v>
      </c>
      <c r="C67" s="18"/>
      <c r="D67" s="18"/>
      <c r="E67" s="18"/>
      <c r="F67" s="18"/>
      <c r="G67" s="18"/>
      <c r="H67" s="18"/>
      <c r="I67" s="18"/>
      <c r="J67" s="19"/>
    </row>
    <row r="68" spans="2:10" s="60" customFormat="1" x14ac:dyDescent="0.25">
      <c r="B68" s="28"/>
      <c r="C68" s="18"/>
      <c r="D68" s="199" t="s">
        <v>24</v>
      </c>
      <c r="E68" s="200"/>
      <c r="F68" s="119"/>
      <c r="G68" s="85"/>
      <c r="H68" s="18"/>
      <c r="I68" s="18"/>
      <c r="J68" s="19"/>
    </row>
    <row r="69" spans="2:10" s="60" customFormat="1" x14ac:dyDescent="0.25">
      <c r="B69" s="28"/>
      <c r="C69" s="32" t="s">
        <v>3</v>
      </c>
      <c r="D69" s="31" t="s">
        <v>73</v>
      </c>
      <c r="E69" s="31" t="s">
        <v>74</v>
      </c>
      <c r="F69" s="71"/>
      <c r="G69" s="119"/>
      <c r="H69" s="18"/>
      <c r="I69" s="18"/>
      <c r="J69" s="19"/>
    </row>
    <row r="70" spans="2:10" s="60" customFormat="1" x14ac:dyDescent="0.25">
      <c r="B70" s="28"/>
      <c r="C70" s="32" t="s">
        <v>4</v>
      </c>
      <c r="D70" s="89">
        <f>$D62*E62</f>
        <v>0.55006388647372806</v>
      </c>
      <c r="E70" s="89">
        <f>$D62*F62</f>
        <v>0.84711592237669497</v>
      </c>
      <c r="F70" s="121"/>
      <c r="G70" s="121"/>
      <c r="H70" s="18"/>
      <c r="I70" s="18"/>
      <c r="J70" s="19"/>
    </row>
    <row r="71" spans="2:10" s="60" customFormat="1" x14ac:dyDescent="0.25">
      <c r="B71" s="28"/>
      <c r="C71" s="32" t="s">
        <v>5</v>
      </c>
      <c r="D71" s="89">
        <f>$D63*E63</f>
        <v>0.56606790041207999</v>
      </c>
      <c r="E71" s="89">
        <f t="shared" ref="D71:E72" si="3">$D63*F63</f>
        <v>0.87176261408377553</v>
      </c>
      <c r="F71" s="121"/>
      <c r="G71" s="121"/>
      <c r="H71" s="18"/>
      <c r="I71" s="18"/>
      <c r="J71" s="19"/>
    </row>
    <row r="72" spans="2:10" s="60" customFormat="1" x14ac:dyDescent="0.25">
      <c r="B72" s="28"/>
      <c r="C72" s="32" t="s">
        <v>6</v>
      </c>
      <c r="D72" s="89">
        <f t="shared" si="3"/>
        <v>0.56191871161324802</v>
      </c>
      <c r="E72" s="89">
        <f t="shared" si="3"/>
        <v>0.86537273104860646</v>
      </c>
      <c r="F72" s="121"/>
      <c r="G72" s="121"/>
      <c r="H72" s="18"/>
      <c r="I72" s="18"/>
      <c r="J72" s="19"/>
    </row>
    <row r="73" spans="2:10" s="60" customFormat="1" x14ac:dyDescent="0.25">
      <c r="B73" s="28"/>
      <c r="C73" s="18"/>
      <c r="D73" s="121"/>
      <c r="E73" s="121"/>
      <c r="F73" s="121"/>
      <c r="G73" s="121"/>
      <c r="H73" s="18"/>
      <c r="I73" s="18"/>
      <c r="J73" s="19"/>
    </row>
    <row r="74" spans="2:10" s="60" customFormat="1" x14ac:dyDescent="0.25">
      <c r="B74" s="28"/>
      <c r="C74" s="18"/>
      <c r="D74" s="121"/>
      <c r="E74" s="121"/>
      <c r="F74" s="121"/>
      <c r="G74" s="121"/>
      <c r="H74" s="18"/>
      <c r="I74" s="18"/>
      <c r="J74" s="19"/>
    </row>
    <row r="75" spans="2:10" s="60" customFormat="1" x14ac:dyDescent="0.25">
      <c r="B75" s="26"/>
      <c r="C75" s="34"/>
      <c r="D75" s="34"/>
      <c r="E75" s="34"/>
      <c r="F75" s="34"/>
      <c r="G75" s="34"/>
      <c r="H75" s="34"/>
      <c r="I75" s="34"/>
      <c r="J75" s="27"/>
    </row>
    <row r="76" spans="2:10" s="60" customFormat="1" x14ac:dyDescent="0.25"/>
    <row r="77" spans="2:10" s="60" customFormat="1" x14ac:dyDescent="0.25"/>
    <row r="78" spans="2:10" s="60" customFormat="1" ht="21" x14ac:dyDescent="0.35">
      <c r="B78" s="38" t="s">
        <v>33</v>
      </c>
      <c r="C78" s="39"/>
      <c r="D78" s="39"/>
      <c r="E78" s="39"/>
      <c r="F78" s="39"/>
      <c r="G78" s="39"/>
      <c r="H78" s="39"/>
      <c r="I78" s="52"/>
      <c r="J78" s="53"/>
    </row>
    <row r="79" spans="2:10" s="60" customFormat="1" ht="6" customHeight="1" x14ac:dyDescent="0.25">
      <c r="B79" s="182"/>
      <c r="C79" s="47"/>
      <c r="D79" s="47"/>
      <c r="E79" s="47"/>
      <c r="F79" s="47"/>
      <c r="G79" s="47"/>
      <c r="H79" s="47"/>
      <c r="I79" s="52"/>
      <c r="J79" s="53"/>
    </row>
    <row r="80" spans="2:10" s="60" customFormat="1" x14ac:dyDescent="0.25">
      <c r="B80" s="43" t="s">
        <v>34</v>
      </c>
      <c r="C80" s="42"/>
      <c r="D80" s="42"/>
      <c r="E80" s="42"/>
      <c r="F80" s="42"/>
      <c r="G80" s="42"/>
      <c r="H80" s="42"/>
      <c r="I80" s="52"/>
      <c r="J80" s="53"/>
    </row>
    <row r="81" spans="2:12" s="60" customFormat="1" x14ac:dyDescent="0.25">
      <c r="B81" s="41"/>
      <c r="C81" s="37" t="s">
        <v>55</v>
      </c>
      <c r="D81" s="40" t="s">
        <v>42</v>
      </c>
      <c r="E81" s="42"/>
      <c r="F81" s="37" t="s">
        <v>115</v>
      </c>
      <c r="G81" s="44">
        <f>D16</f>
        <v>370</v>
      </c>
      <c r="H81" s="42"/>
      <c r="I81" s="52"/>
      <c r="J81" s="53"/>
    </row>
    <row r="82" spans="2:12" s="60" customFormat="1" ht="17.25" x14ac:dyDescent="0.25">
      <c r="B82" s="41"/>
      <c r="C82" s="37" t="s">
        <v>78</v>
      </c>
      <c r="D82" s="40" t="s">
        <v>76</v>
      </c>
      <c r="E82" s="42"/>
      <c r="F82" s="37" t="s">
        <v>116</v>
      </c>
      <c r="G82" s="136">
        <f>D17</f>
        <v>1.657</v>
      </c>
      <c r="H82" s="42"/>
      <c r="I82" s="52"/>
      <c r="J82" s="53"/>
    </row>
    <row r="83" spans="2:12" s="60" customFormat="1" ht="17.25" x14ac:dyDescent="0.25">
      <c r="B83" s="41"/>
      <c r="C83" s="37" t="s">
        <v>37</v>
      </c>
      <c r="D83" s="44">
        <f>$D$43</f>
        <v>3.33</v>
      </c>
      <c r="E83" s="42"/>
      <c r="F83" s="154" t="s">
        <v>53</v>
      </c>
      <c r="G83" s="68">
        <f>IF(ISNUMBER(MATCH($D$81,$B$104:$B$106,0))=FALSE,"Not a climate",CHOOSE(MATCH($D$81,$B$104:$B$106,0),$E$22,$E$23,$E$24))</f>
        <v>972.93399999999997</v>
      </c>
      <c r="H83" s="42"/>
      <c r="I83" s="52"/>
      <c r="J83" s="53"/>
    </row>
    <row r="84" spans="2:12" s="60" customFormat="1" x14ac:dyDescent="0.25">
      <c r="B84" s="41"/>
      <c r="C84" s="37" t="s">
        <v>35</v>
      </c>
      <c r="D84" s="40">
        <v>30</v>
      </c>
      <c r="E84" s="42"/>
      <c r="F84" s="45" t="s">
        <v>104</v>
      </c>
      <c r="G84" s="136">
        <f>$D$10*IF(ISNUMBER(MATCH($D$81,$B$104:$B$106,0))=FALSE,"Not a climate",CHOOSE(MATCH($D$81,$B$104:$B$106,0),$D$22,$D$23,$D$24))</f>
        <v>0.95499999999999996</v>
      </c>
      <c r="H84" s="42"/>
      <c r="I84" s="52"/>
      <c r="J84" s="53"/>
    </row>
    <row r="85" spans="2:12" s="60" customFormat="1" x14ac:dyDescent="0.25">
      <c r="B85" s="41"/>
      <c r="C85" s="37" t="s">
        <v>36</v>
      </c>
      <c r="D85" s="67">
        <v>1</v>
      </c>
      <c r="E85" s="42"/>
      <c r="F85" s="37" t="s">
        <v>38</v>
      </c>
      <c r="G85" s="46">
        <f>IF(ISNUMBER(MATCH($D$82,$B$109:$B$110,0))=FALSE,"Not a conf",CHOOSE(MATCH($D$82,$B$109:$B$110,0),$E$53,$E$54))</f>
        <v>4.9124548337941114</v>
      </c>
      <c r="H85" s="42"/>
      <c r="I85" s="52"/>
      <c r="J85" s="53"/>
    </row>
    <row r="86" spans="2:12" s="60" customFormat="1" x14ac:dyDescent="0.25">
      <c r="B86" s="183"/>
      <c r="C86" s="184"/>
      <c r="D86" s="184"/>
      <c r="E86" s="184"/>
      <c r="F86" s="184"/>
      <c r="G86" s="184"/>
      <c r="H86" s="184"/>
      <c r="I86" s="52"/>
      <c r="J86" s="53"/>
    </row>
    <row r="87" spans="2:12" s="60" customFormat="1" x14ac:dyDescent="0.25">
      <c r="B87" s="59" t="s">
        <v>46</v>
      </c>
      <c r="C87" s="47"/>
      <c r="D87" s="47"/>
      <c r="E87" s="47"/>
      <c r="F87" s="47"/>
      <c r="G87" s="47"/>
      <c r="H87" s="47"/>
      <c r="I87" s="52"/>
      <c r="J87" s="53"/>
    </row>
    <row r="88" spans="2:12" s="60" customFormat="1" x14ac:dyDescent="0.25">
      <c r="B88" s="43"/>
      <c r="C88" s="42"/>
      <c r="D88" s="42"/>
      <c r="E88" s="42"/>
      <c r="F88" s="42"/>
      <c r="G88" s="42"/>
      <c r="H88" s="42"/>
      <c r="I88" s="52"/>
      <c r="J88" s="53"/>
    </row>
    <row r="89" spans="2:12" s="60" customFormat="1" ht="17.25" x14ac:dyDescent="0.25">
      <c r="B89" s="43" t="s">
        <v>48</v>
      </c>
      <c r="C89" s="42"/>
      <c r="D89" s="42"/>
      <c r="E89" s="44" t="s">
        <v>51</v>
      </c>
      <c r="F89" s="44" t="s">
        <v>113</v>
      </c>
      <c r="G89" s="44" t="s">
        <v>112</v>
      </c>
      <c r="H89" s="42"/>
      <c r="I89" s="52"/>
      <c r="J89" s="53"/>
    </row>
    <row r="90" spans="2:12" s="60" customFormat="1" ht="15.75" thickBot="1" x14ac:dyDescent="0.3">
      <c r="B90" s="41"/>
      <c r="C90" s="42" t="s">
        <v>52</v>
      </c>
      <c r="D90" s="44" t="s">
        <v>49</v>
      </c>
      <c r="E90" s="63">
        <f>($D$83*1000*$G$83*$G$84*0.001)*(0.01*$D$31)*(1-(0.01*$G$85))</f>
        <v>2824.3977322793767</v>
      </c>
      <c r="F90" s="63">
        <f>$E$90/$D$83</f>
        <v>848.16748717098392</v>
      </c>
      <c r="G90" s="147">
        <f>$F$90/$D$44</f>
        <v>56.874370493595109</v>
      </c>
      <c r="H90" s="42"/>
      <c r="I90" s="52"/>
      <c r="J90" s="159"/>
      <c r="K90" s="53"/>
      <c r="L90" s="53"/>
    </row>
    <row r="91" spans="2:12" s="60" customFormat="1" ht="15.75" thickBot="1" x14ac:dyDescent="0.3">
      <c r="B91" s="41"/>
      <c r="C91" s="42"/>
      <c r="D91" s="150" t="s">
        <v>50</v>
      </c>
      <c r="E91" s="64">
        <f>($D$83*1000*$G$84*$G$83*0.001)*($D$31/100)*(1-0.01*$G$85)*$D$84*(1-(0.5*0.01*$D$85*$D$84))</f>
        <v>72022.142173124113</v>
      </c>
      <c r="F91" s="146">
        <f>$E$91/$D$83</f>
        <v>21628.270922860094</v>
      </c>
      <c r="G91" s="65">
        <f>$F$91/$D$44</f>
        <v>1450.2964475866756</v>
      </c>
      <c r="H91" s="42"/>
      <c r="I91" s="52"/>
      <c r="J91" s="160"/>
      <c r="K91" s="159"/>
      <c r="L91" s="62"/>
    </row>
    <row r="92" spans="2:12" s="60" customFormat="1" x14ac:dyDescent="0.25">
      <c r="B92" s="41"/>
      <c r="C92" s="42"/>
      <c r="D92" s="42"/>
      <c r="E92" s="42"/>
      <c r="F92" s="42"/>
      <c r="G92" s="42"/>
      <c r="H92" s="42"/>
      <c r="I92" s="52"/>
      <c r="J92" s="53"/>
      <c r="K92" s="161"/>
      <c r="L92" s="161"/>
    </row>
    <row r="93" spans="2:12" s="60" customFormat="1" x14ac:dyDescent="0.25">
      <c r="B93" s="43" t="s">
        <v>47</v>
      </c>
      <c r="C93" s="42"/>
      <c r="D93" s="42"/>
      <c r="E93" s="42"/>
      <c r="F93" s="42"/>
      <c r="G93" s="42"/>
      <c r="H93" s="42"/>
      <c r="I93" s="52"/>
      <c r="J93" s="53"/>
      <c r="K93" s="53"/>
      <c r="L93" s="53"/>
    </row>
    <row r="94" spans="2:12" s="60" customFormat="1" ht="17.25" x14ac:dyDescent="0.25">
      <c r="B94" s="41"/>
      <c r="C94" s="42" t="s">
        <v>114</v>
      </c>
      <c r="D94" s="42"/>
      <c r="E94" s="42"/>
      <c r="F94" s="42"/>
      <c r="G94" s="42"/>
      <c r="H94" s="42"/>
      <c r="I94" s="52"/>
      <c r="J94" s="53"/>
      <c r="K94" s="53"/>
      <c r="L94" s="53"/>
    </row>
    <row r="95" spans="2:12" s="60" customFormat="1" ht="3.75" customHeight="1" x14ac:dyDescent="0.25">
      <c r="B95" s="41"/>
      <c r="C95" s="42"/>
      <c r="D95" s="42"/>
      <c r="E95" s="42"/>
      <c r="F95" s="42"/>
      <c r="G95" s="42"/>
      <c r="H95" s="42"/>
      <c r="I95" s="52"/>
      <c r="J95" s="53"/>
      <c r="K95" s="53"/>
      <c r="L95" s="53"/>
    </row>
    <row r="96" spans="2:12" s="60" customFormat="1" x14ac:dyDescent="0.25">
      <c r="B96" s="41"/>
      <c r="C96" s="42"/>
      <c r="D96" s="206" t="s">
        <v>24</v>
      </c>
      <c r="E96" s="200"/>
      <c r="F96" s="208" t="s">
        <v>122</v>
      </c>
      <c r="G96" s="209"/>
      <c r="H96" s="42"/>
      <c r="I96" s="52"/>
      <c r="J96" s="53"/>
      <c r="K96" s="53"/>
      <c r="L96" s="53"/>
    </row>
    <row r="97" spans="2:16" s="60" customFormat="1" x14ac:dyDescent="0.25">
      <c r="B97" s="41"/>
      <c r="C97" s="37" t="s">
        <v>3</v>
      </c>
      <c r="D97" s="36" t="s">
        <v>73</v>
      </c>
      <c r="E97" s="36" t="s">
        <v>74</v>
      </c>
      <c r="F97" s="190" t="s">
        <v>73</v>
      </c>
      <c r="G97" s="190" t="s">
        <v>74</v>
      </c>
      <c r="H97" s="42"/>
      <c r="I97" s="52"/>
      <c r="J97" s="53"/>
      <c r="K97" s="53"/>
      <c r="L97" s="53"/>
    </row>
    <row r="98" spans="2:16" s="60" customFormat="1" x14ac:dyDescent="0.25">
      <c r="B98" s="41"/>
      <c r="C98" s="37" t="s">
        <v>4</v>
      </c>
      <c r="D98" s="48">
        <f>($D$83*1000*$D$10*$D$22*$E$22*0.001)*($D$31/100)*(1-0.01*$E$53)*$D$84*(1-(0.5*0.01*$D$85*$D$84))/($D$43*$D$44)</f>
        <v>2159.0192337232115</v>
      </c>
      <c r="E98" s="48">
        <f>($D$83*1000*$D$10*$D$22*$E$22*0.001)*($D$31/100)*(1-0.01*$E$54)*$D$84*(1-(0.5*0.01*$D$85*$D$84))/($D$43*$D$44)</f>
        <v>3324.9584540609835</v>
      </c>
      <c r="F98" s="191" t="str">
        <f>IF(D98&lt;$L$109,$D$109,IF(D98&lt;$L$108,$D$108,IF(D98&lt;$L$107,$D$107,IF(D98&lt;$L$106,$D$106,"A"))))</f>
        <v>D</v>
      </c>
      <c r="G98" s="191" t="str">
        <f>IF(E98&lt;$L$109,$D$109,IF(E98&lt;$L$108,$D$108,IF(E98&lt;$L$107,$D$107,IF(E98&lt;$L$106,$D$106,"A"))))</f>
        <v xml:space="preserve"> B</v>
      </c>
      <c r="H98" s="42"/>
      <c r="I98" s="52"/>
      <c r="J98" s="53"/>
      <c r="K98" s="159"/>
      <c r="L98" s="53"/>
    </row>
    <row r="99" spans="2:16" s="60" customFormat="1" x14ac:dyDescent="0.25">
      <c r="B99" s="41"/>
      <c r="C99" s="37" t="s">
        <v>5</v>
      </c>
      <c r="D99" s="48">
        <f>($D$83*1000*$D$10*$D$23*$E$23*0.001)*($D$31/100)*(1-0.01*$E$53)*$D$84*(1-(0.5*0.01*$D$85*$D$84))/($D$43*$D$44)</f>
        <v>941.73144362622736</v>
      </c>
      <c r="E99" s="48">
        <f>($D$83*1000*$D$10*$D$23*$E$23*0.001)*($D$31/100)*(1-0.01*$E$54)*$D$84*(1-(0.5*0.01*$D$85*$D$84))/($D$43*$D$44)</f>
        <v>1450.2964475866756</v>
      </c>
      <c r="F99" s="191" t="str">
        <f>IF(D99&lt;$M$109,$D$109,IF(D99&lt;$M$108,$D$108,IF(D99&lt;$M$107,$D$107,IF(D99&lt;$M$106,$D$106,"A"))))</f>
        <v>D</v>
      </c>
      <c r="G99" s="191" t="str">
        <f>IF(E99&lt;$M$109,$D$109,IF(E99&lt;$M$108,$D$108,IF(E99&lt;$M$107,$D$107,IF(E99&lt;$M$106,$D$106,"A"))))</f>
        <v xml:space="preserve"> B</v>
      </c>
      <c r="H99" s="42"/>
      <c r="I99" s="52"/>
      <c r="J99" s="53"/>
      <c r="K99" s="159"/>
      <c r="L99" s="53"/>
    </row>
    <row r="100" spans="2:16" s="60" customFormat="1" x14ac:dyDescent="0.25">
      <c r="B100" s="41"/>
      <c r="C100" s="37" t="s">
        <v>6</v>
      </c>
      <c r="D100" s="48">
        <f>($D$83*1000*$D$10*$D$24*$E$24*0.001)*($D$31/100)*(1-0.01*$E$53)*$D$84*(1-(0.5*0.01*$D$85*$D$84))/($D$43*$D$44)</f>
        <v>1216.4195503112667</v>
      </c>
      <c r="E100" s="48">
        <f>($D$83*1000*$D$10*$D$24*$E$24*0.001)*($D$31/100)*(1-0.01*$E$54)*$D$84*(1-(0.5*0.01*$D$85*$D$84))/($D$43*$D$44)</f>
        <v>1873.3248895229722</v>
      </c>
      <c r="F100" s="191" t="str">
        <f>IF(D100&lt;$N$109,$D$109,IF(D100&lt;$N$108,$D$108,IF(D100&lt;$N$107,$D$107,IF(D100&lt;$N$106,$D$106,"A"))))</f>
        <v>D</v>
      </c>
      <c r="G100" s="191" t="str">
        <f>IF(E100&lt;$N$109,$D$109,IF(E100&lt;$N$108,$D$108,IF(E100&lt;$N$107,$D$107,IF(E100&lt;$N$106,$D$106,"A"))))</f>
        <v xml:space="preserve"> B</v>
      </c>
      <c r="H100" s="42"/>
      <c r="I100" s="52"/>
      <c r="J100" s="53"/>
      <c r="K100" s="159"/>
      <c r="L100" s="53"/>
    </row>
    <row r="101" spans="2:16" s="60" customFormat="1" x14ac:dyDescent="0.25">
      <c r="B101" s="183"/>
      <c r="C101" s="184"/>
      <c r="D101" s="184"/>
      <c r="E101" s="184"/>
      <c r="F101" s="184"/>
      <c r="G101" s="184"/>
      <c r="H101" s="184"/>
      <c r="I101" s="52"/>
      <c r="J101" s="53"/>
      <c r="K101" s="53"/>
      <c r="L101" s="53"/>
    </row>
    <row r="102" spans="2:16" s="60" customFormat="1" x14ac:dyDescent="0.25">
      <c r="B102" s="49" t="s">
        <v>56</v>
      </c>
      <c r="C102" s="51"/>
      <c r="D102" s="50"/>
      <c r="E102" s="50"/>
      <c r="F102" s="50"/>
      <c r="G102" s="50"/>
      <c r="H102" s="172"/>
      <c r="I102" s="53"/>
      <c r="J102" s="53"/>
      <c r="K102" s="194"/>
      <c r="L102" s="195"/>
      <c r="M102" s="195"/>
      <c r="N102" s="195"/>
      <c r="O102" s="195"/>
      <c r="P102" s="195"/>
    </row>
    <row r="103" spans="2:16" s="60" customFormat="1" ht="17.25" x14ac:dyDescent="0.25">
      <c r="B103" s="52" t="s">
        <v>39</v>
      </c>
      <c r="C103" s="54"/>
      <c r="D103" s="151"/>
      <c r="E103" s="206" t="s">
        <v>127</v>
      </c>
      <c r="F103" s="212"/>
      <c r="G103" s="212"/>
      <c r="H103" s="207"/>
      <c r="I103" s="53"/>
      <c r="J103" s="53"/>
      <c r="K103" s="194"/>
      <c r="L103" s="195"/>
      <c r="M103" s="195"/>
      <c r="N103" s="195"/>
      <c r="O103" s="195"/>
      <c r="P103" s="195"/>
    </row>
    <row r="104" spans="2:16" s="60" customFormat="1" x14ac:dyDescent="0.25">
      <c r="B104" s="52" t="s">
        <v>40</v>
      </c>
      <c r="C104" s="54" t="s">
        <v>4</v>
      </c>
      <c r="D104" s="44" t="s">
        <v>122</v>
      </c>
      <c r="E104" s="150" t="s">
        <v>125</v>
      </c>
      <c r="F104" s="44" t="s">
        <v>123</v>
      </c>
      <c r="G104" s="210" t="s">
        <v>124</v>
      </c>
      <c r="H104" s="210"/>
      <c r="I104" s="53"/>
      <c r="J104" s="53"/>
      <c r="K104" s="188" t="s">
        <v>139</v>
      </c>
      <c r="L104" s="186" t="s">
        <v>136</v>
      </c>
      <c r="M104" s="186" t="s">
        <v>137</v>
      </c>
      <c r="N104" s="186" t="s">
        <v>138</v>
      </c>
      <c r="O104" s="196"/>
      <c r="P104" s="195"/>
    </row>
    <row r="105" spans="2:16" s="60" customFormat="1" x14ac:dyDescent="0.25">
      <c r="B105" s="52" t="s">
        <v>42</v>
      </c>
      <c r="C105" s="54" t="s">
        <v>5</v>
      </c>
      <c r="D105" s="44" t="s">
        <v>41</v>
      </c>
      <c r="E105" s="189" t="s">
        <v>140</v>
      </c>
      <c r="F105" s="189" t="s">
        <v>141</v>
      </c>
      <c r="G105" s="206" t="s">
        <v>142</v>
      </c>
      <c r="H105" s="207"/>
      <c r="I105" s="53"/>
      <c r="J105" s="53"/>
      <c r="K105" s="188" t="s">
        <v>131</v>
      </c>
      <c r="L105" s="187">
        <v>1000000</v>
      </c>
      <c r="M105" s="187">
        <v>1000000</v>
      </c>
      <c r="N105" s="187">
        <v>1000000</v>
      </c>
      <c r="O105" s="195"/>
      <c r="P105" s="195"/>
    </row>
    <row r="106" spans="2:16" s="60" customFormat="1" x14ac:dyDescent="0.25">
      <c r="B106" s="52" t="s">
        <v>43</v>
      </c>
      <c r="C106" s="54" t="s">
        <v>6</v>
      </c>
      <c r="D106" s="44" t="s">
        <v>126</v>
      </c>
      <c r="E106" s="185" t="s">
        <v>143</v>
      </c>
      <c r="F106" s="185" t="s">
        <v>144</v>
      </c>
      <c r="G106" s="206" t="s">
        <v>145</v>
      </c>
      <c r="H106" s="207"/>
      <c r="I106" s="53"/>
      <c r="J106" s="53"/>
      <c r="K106" s="188" t="s">
        <v>132</v>
      </c>
      <c r="L106" s="187">
        <v>3615</v>
      </c>
      <c r="M106" s="187">
        <v>1577</v>
      </c>
      <c r="N106" s="187">
        <v>2037</v>
      </c>
      <c r="O106" s="195"/>
      <c r="P106" s="195"/>
    </row>
    <row r="107" spans="2:16" s="60" customFormat="1" x14ac:dyDescent="0.25">
      <c r="B107" s="52"/>
      <c r="C107" s="54"/>
      <c r="D107" s="44" t="s">
        <v>45</v>
      </c>
      <c r="E107" s="185" t="s">
        <v>146</v>
      </c>
      <c r="F107" s="185" t="s">
        <v>147</v>
      </c>
      <c r="G107" s="206" t="s">
        <v>148</v>
      </c>
      <c r="H107" s="207"/>
      <c r="I107" s="53"/>
      <c r="J107" s="53"/>
      <c r="K107" s="188" t="s">
        <v>133</v>
      </c>
      <c r="L107" s="187">
        <v>2926</v>
      </c>
      <c r="M107" s="187">
        <v>1279</v>
      </c>
      <c r="N107" s="187">
        <v>1652</v>
      </c>
      <c r="O107" s="195"/>
      <c r="P107" s="195"/>
    </row>
    <row r="108" spans="2:16" s="60" customFormat="1" x14ac:dyDescent="0.25">
      <c r="B108" s="52" t="s">
        <v>77</v>
      </c>
      <c r="C108" s="54"/>
      <c r="D108" s="44" t="s">
        <v>57</v>
      </c>
      <c r="E108" s="185" t="s">
        <v>149</v>
      </c>
      <c r="F108" s="185" t="s">
        <v>150</v>
      </c>
      <c r="G108" s="206" t="s">
        <v>151</v>
      </c>
      <c r="H108" s="207"/>
      <c r="I108" s="53"/>
      <c r="J108" s="53"/>
      <c r="K108" s="188" t="s">
        <v>134</v>
      </c>
      <c r="L108" s="187">
        <v>2237</v>
      </c>
      <c r="M108" s="187">
        <v>981</v>
      </c>
      <c r="N108" s="187">
        <v>1266</v>
      </c>
      <c r="O108" s="195"/>
      <c r="P108" s="195"/>
    </row>
    <row r="109" spans="2:16" s="60" customFormat="1" x14ac:dyDescent="0.25">
      <c r="B109" s="55" t="s">
        <v>75</v>
      </c>
      <c r="C109" s="54" t="s">
        <v>25</v>
      </c>
      <c r="D109" s="44" t="s">
        <v>62</v>
      </c>
      <c r="E109" s="189" t="s">
        <v>128</v>
      </c>
      <c r="F109" s="189" t="s">
        <v>129</v>
      </c>
      <c r="G109" s="206" t="s">
        <v>130</v>
      </c>
      <c r="H109" s="207"/>
      <c r="I109" s="53"/>
      <c r="J109" s="53"/>
      <c r="K109" s="188" t="s">
        <v>135</v>
      </c>
      <c r="L109" s="187">
        <v>1548</v>
      </c>
      <c r="M109" s="187">
        <v>682</v>
      </c>
      <c r="N109" s="187">
        <v>881</v>
      </c>
      <c r="O109" s="195"/>
      <c r="P109" s="195"/>
    </row>
    <row r="110" spans="2:16" s="60" customFormat="1" x14ac:dyDescent="0.25">
      <c r="B110" s="55" t="s">
        <v>76</v>
      </c>
      <c r="C110" s="54" t="s">
        <v>72</v>
      </c>
      <c r="D110" s="53"/>
      <c r="E110" s="53"/>
      <c r="F110" s="53"/>
      <c r="G110" s="53"/>
      <c r="H110" s="51"/>
      <c r="I110" s="53"/>
      <c r="J110" s="53"/>
      <c r="K110" s="193"/>
      <c r="L110" s="192"/>
      <c r="M110" s="192"/>
      <c r="N110" s="192"/>
      <c r="O110" s="195"/>
      <c r="P110" s="195"/>
    </row>
    <row r="111" spans="2:16" s="60" customFormat="1" x14ac:dyDescent="0.25">
      <c r="B111" s="56"/>
      <c r="C111" s="58"/>
      <c r="D111" s="57"/>
      <c r="E111" s="57"/>
      <c r="F111" s="57"/>
      <c r="G111" s="57"/>
      <c r="H111" s="58"/>
      <c r="I111" s="53"/>
      <c r="J111" s="53"/>
      <c r="K111" s="194"/>
      <c r="L111" s="195"/>
      <c r="M111" s="195"/>
      <c r="N111" s="195"/>
      <c r="O111" s="195"/>
      <c r="P111" s="195"/>
    </row>
    <row r="112" spans="2:16" s="60" customFormat="1" x14ac:dyDescent="0.25"/>
    <row r="113" spans="2:10" s="60" customFormat="1" x14ac:dyDescent="0.25"/>
    <row r="114" spans="2:10" s="60" customFormat="1" x14ac:dyDescent="0.25"/>
    <row r="115" spans="2:10" s="60" customFormat="1" x14ac:dyDescent="0.25">
      <c r="B115" s="28"/>
      <c r="C115" s="18"/>
      <c r="D115" s="135"/>
      <c r="E115" s="135"/>
      <c r="F115" s="135"/>
      <c r="G115" s="135"/>
      <c r="H115" s="18"/>
      <c r="I115" s="18"/>
      <c r="J115" s="19"/>
    </row>
    <row r="116" spans="2:10" s="60" customFormat="1" x14ac:dyDescent="0.25">
      <c r="B116" s="20" t="s">
        <v>59</v>
      </c>
      <c r="C116" s="18"/>
      <c r="D116" s="135"/>
      <c r="E116" s="135"/>
      <c r="F116" s="135"/>
      <c r="G116" s="135"/>
      <c r="H116" s="18"/>
      <c r="I116" s="18"/>
      <c r="J116" s="19"/>
    </row>
    <row r="117" spans="2:10" s="60" customFormat="1" x14ac:dyDescent="0.25">
      <c r="B117" s="20"/>
      <c r="C117" s="18"/>
      <c r="D117" s="135"/>
      <c r="E117" s="135"/>
      <c r="F117" s="135"/>
      <c r="G117" s="135"/>
      <c r="H117" s="18"/>
      <c r="I117" s="18"/>
      <c r="J117" s="19"/>
    </row>
    <row r="118" spans="2:10" s="60" customFormat="1" x14ac:dyDescent="0.25">
      <c r="B118" s="20"/>
      <c r="C118" s="133" t="s">
        <v>60</v>
      </c>
      <c r="D118" s="133" t="s">
        <v>61</v>
      </c>
      <c r="E118" s="135"/>
      <c r="F118" s="135"/>
      <c r="G118" s="135"/>
      <c r="H118" s="18"/>
      <c r="I118" s="18"/>
      <c r="J118" s="19"/>
    </row>
    <row r="119" spans="2:10" s="60" customFormat="1" x14ac:dyDescent="0.25">
      <c r="B119" s="20"/>
      <c r="C119" s="134" t="s">
        <v>65</v>
      </c>
      <c r="D119" s="134" t="s">
        <v>66</v>
      </c>
      <c r="E119" s="135"/>
      <c r="F119" s="148">
        <v>0</v>
      </c>
      <c r="G119" s="148">
        <v>0.6</v>
      </c>
      <c r="H119" s="18"/>
      <c r="I119" s="18"/>
      <c r="J119" s="19"/>
    </row>
    <row r="120" spans="2:10" s="60" customFormat="1" x14ac:dyDescent="0.25">
      <c r="B120" s="20"/>
      <c r="C120" s="134" t="s">
        <v>67</v>
      </c>
      <c r="D120" s="134" t="s">
        <v>62</v>
      </c>
      <c r="E120" s="135"/>
      <c r="F120" s="148">
        <f>G119</f>
        <v>0.6</v>
      </c>
      <c r="G120" s="148">
        <v>0.72499999999999998</v>
      </c>
      <c r="H120" s="18"/>
      <c r="I120" s="18"/>
      <c r="J120" s="19"/>
    </row>
    <row r="121" spans="2:10" s="60" customFormat="1" x14ac:dyDescent="0.25">
      <c r="B121" s="20"/>
      <c r="C121" s="134" t="s">
        <v>68</v>
      </c>
      <c r="D121" s="134" t="s">
        <v>57</v>
      </c>
      <c r="E121" s="135"/>
      <c r="F121" s="148">
        <f t="shared" ref="F121:F124" si="4">G120</f>
        <v>0.72499999999999998</v>
      </c>
      <c r="G121" s="148">
        <v>0.77500000000000002</v>
      </c>
      <c r="H121" s="18"/>
      <c r="I121" s="18"/>
      <c r="J121" s="19"/>
    </row>
    <row r="122" spans="2:10" s="60" customFormat="1" x14ac:dyDescent="0.25">
      <c r="B122" s="20"/>
      <c r="C122" s="134" t="s">
        <v>69</v>
      </c>
      <c r="D122" s="134" t="s">
        <v>45</v>
      </c>
      <c r="E122" s="135"/>
      <c r="F122" s="148">
        <f t="shared" si="4"/>
        <v>0.77500000000000002</v>
      </c>
      <c r="G122" s="148">
        <v>0.82499999999999996</v>
      </c>
      <c r="H122" s="18"/>
      <c r="I122" s="18"/>
      <c r="J122" s="19"/>
    </row>
    <row r="123" spans="2:10" s="60" customFormat="1" x14ac:dyDescent="0.25">
      <c r="B123" s="20"/>
      <c r="C123" s="134" t="s">
        <v>64</v>
      </c>
      <c r="D123" s="134" t="s">
        <v>44</v>
      </c>
      <c r="E123" s="135"/>
      <c r="F123" s="148">
        <f t="shared" si="4"/>
        <v>0.82499999999999996</v>
      </c>
      <c r="G123" s="148">
        <v>0.875</v>
      </c>
      <c r="H123" s="197"/>
      <c r="I123" s="198"/>
      <c r="J123" s="19"/>
    </row>
    <row r="124" spans="2:10" s="60" customFormat="1" x14ac:dyDescent="0.25">
      <c r="B124" s="20"/>
      <c r="C124" s="133" t="s">
        <v>63</v>
      </c>
      <c r="D124" s="133" t="s">
        <v>41</v>
      </c>
      <c r="E124" s="135"/>
      <c r="F124" s="148">
        <f t="shared" si="4"/>
        <v>0.875</v>
      </c>
      <c r="G124" s="148">
        <v>1</v>
      </c>
      <c r="H124" s="197"/>
      <c r="I124" s="198"/>
      <c r="J124" s="19"/>
    </row>
    <row r="125" spans="2:10" s="60" customFormat="1" x14ac:dyDescent="0.25">
      <c r="B125" s="20"/>
      <c r="C125" s="132"/>
      <c r="D125" s="135"/>
      <c r="E125" s="135"/>
      <c r="F125" s="135"/>
      <c r="G125" s="135"/>
      <c r="H125" s="132"/>
      <c r="I125" s="132"/>
      <c r="J125" s="19"/>
    </row>
    <row r="126" spans="2:10" s="60" customFormat="1" x14ac:dyDescent="0.25">
      <c r="B126" s="28"/>
      <c r="C126" s="18"/>
      <c r="D126" s="199" t="s">
        <v>58</v>
      </c>
      <c r="E126" s="200"/>
      <c r="F126" s="132"/>
      <c r="G126" s="85"/>
      <c r="H126" s="18"/>
      <c r="I126" s="18"/>
      <c r="J126" s="19"/>
    </row>
    <row r="127" spans="2:10" s="60" customFormat="1" x14ac:dyDescent="0.25">
      <c r="B127" s="28"/>
      <c r="C127" s="32" t="s">
        <v>3</v>
      </c>
      <c r="D127" s="31" t="s">
        <v>73</v>
      </c>
      <c r="E127" s="31" t="s">
        <v>74</v>
      </c>
      <c r="F127" s="71"/>
      <c r="G127" s="132"/>
      <c r="H127" s="18"/>
      <c r="I127" s="18"/>
      <c r="J127" s="19"/>
    </row>
    <row r="128" spans="2:10" s="60" customFormat="1" x14ac:dyDescent="0.25">
      <c r="B128" s="28"/>
      <c r="C128" s="32" t="s">
        <v>4</v>
      </c>
      <c r="D128" s="89" t="str">
        <f>IF(D70&lt;$G$119,$D$119,IF(D70&lt;$G$120,$D$120,IF(D70&lt;$G$121,$D$121,IF(D70&lt;$G$122,$D$122,IF(D70&lt;$G$123,$D$123,IF(D70&lt;$G$124,$D$124,"A+"))))))</f>
        <v>F</v>
      </c>
      <c r="E128" s="89" t="str">
        <f>IF(E70&lt;$G$119,$D$119,IF(E70&lt;$G$120,$D$120,IF(E70&lt;$G$121,$D$121,IF(E70&lt;$G$122,$D$122,IF(E70&lt;$G$123,$D$123,IF(E70&lt;$G$124,$D$124,"A+"))))))</f>
        <v>B</v>
      </c>
      <c r="F128" s="135"/>
      <c r="G128" s="135"/>
      <c r="H128" s="18"/>
      <c r="I128" s="18"/>
      <c r="J128" s="19"/>
    </row>
    <row r="129" spans="2:10" s="60" customFormat="1" x14ac:dyDescent="0.25">
      <c r="B129" s="28"/>
      <c r="C129" s="32" t="s">
        <v>5</v>
      </c>
      <c r="D129" s="89" t="str">
        <f t="shared" ref="D129:E129" si="5">IF(D71&lt;$G$119,$D$119,IF(D71&lt;$G$120,$D$120,IF(D71&lt;$G$121,$D$121,IF(D71&lt;$G$122,$D$122,IF(D71&lt;$G$123,$D$123,IF(D71&lt;$G$124,$D$124,"A+"))))))</f>
        <v>F</v>
      </c>
      <c r="E129" s="89" t="str">
        <f t="shared" si="5"/>
        <v>B</v>
      </c>
      <c r="F129" s="135"/>
      <c r="G129" s="135"/>
      <c r="H129" s="18"/>
      <c r="I129" s="18"/>
      <c r="J129" s="19"/>
    </row>
    <row r="130" spans="2:10" s="60" customFormat="1" x14ac:dyDescent="0.25">
      <c r="B130" s="28"/>
      <c r="C130" s="32" t="s">
        <v>6</v>
      </c>
      <c r="D130" s="89" t="str">
        <f t="shared" ref="D130:E130" si="6">IF(D72&lt;$G$119,$D$119,IF(D72&lt;$G$120,$D$120,IF(D72&lt;$G$121,$D$121,IF(D72&lt;$G$122,$D$122,IF(D72&lt;$G$123,$D$123,IF(D72&lt;$G$124,$D$124,"A+"))))))</f>
        <v>F</v>
      </c>
      <c r="E130" s="89" t="str">
        <f t="shared" si="6"/>
        <v>B</v>
      </c>
      <c r="F130" s="135"/>
      <c r="G130" s="135"/>
      <c r="H130" s="18"/>
      <c r="I130" s="18"/>
      <c r="J130" s="19"/>
    </row>
    <row r="131" spans="2:10" s="60" customFormat="1" x14ac:dyDescent="0.25">
      <c r="B131" s="26"/>
      <c r="C131" s="34"/>
      <c r="D131" s="34"/>
      <c r="E131" s="34"/>
      <c r="F131" s="34"/>
      <c r="G131" s="34"/>
      <c r="H131" s="34"/>
      <c r="I131" s="34"/>
      <c r="J131" s="27"/>
    </row>
    <row r="132" spans="2:10" s="60" customFormat="1" x14ac:dyDescent="0.25"/>
    <row r="133" spans="2:10" s="60" customFormat="1" x14ac:dyDescent="0.25"/>
    <row r="134" spans="2:10" s="60" customFormat="1" x14ac:dyDescent="0.25"/>
    <row r="135" spans="2:10" s="60" customFormat="1" x14ac:dyDescent="0.25"/>
    <row r="136" spans="2:10" s="60" customFormat="1" x14ac:dyDescent="0.25"/>
    <row r="137" spans="2:10" s="60" customFormat="1" x14ac:dyDescent="0.25"/>
    <row r="138" spans="2:10" s="60" customFormat="1" x14ac:dyDescent="0.25"/>
    <row r="139" spans="2:10" s="60" customFormat="1" x14ac:dyDescent="0.25"/>
    <row r="140" spans="2:10" s="60" customFormat="1" x14ac:dyDescent="0.25"/>
    <row r="141" spans="2:10" s="60" customFormat="1" x14ac:dyDescent="0.25"/>
    <row r="142" spans="2:10" s="60" customFormat="1" x14ac:dyDescent="0.25"/>
    <row r="143" spans="2:10" s="60" customFormat="1" x14ac:dyDescent="0.25"/>
    <row r="144" spans="2:10" s="60" customFormat="1" x14ac:dyDescent="0.25"/>
    <row r="145" s="60" customFormat="1" x14ac:dyDescent="0.25"/>
    <row r="146" s="60" customFormat="1" x14ac:dyDescent="0.25"/>
    <row r="147" s="60" customFormat="1" x14ac:dyDescent="0.25"/>
    <row r="148" s="60" customFormat="1" x14ac:dyDescent="0.25"/>
    <row r="149" s="60" customFormat="1" x14ac:dyDescent="0.25"/>
    <row r="150" s="60" customFormat="1" x14ac:dyDescent="0.25"/>
    <row r="151" s="60" customFormat="1" x14ac:dyDescent="0.25"/>
    <row r="152" s="60" customFormat="1" x14ac:dyDescent="0.25"/>
    <row r="153" s="60" customFormat="1" x14ac:dyDescent="0.25"/>
    <row r="154" s="60" customFormat="1" x14ac:dyDescent="0.25"/>
    <row r="155" s="60" customFormat="1" x14ac:dyDescent="0.25"/>
    <row r="156" s="60" customFormat="1" x14ac:dyDescent="0.25"/>
    <row r="157" s="60" customFormat="1" x14ac:dyDescent="0.25"/>
    <row r="158" s="60" customFormat="1" x14ac:dyDescent="0.25"/>
    <row r="159" s="60" customFormat="1" x14ac:dyDescent="0.25"/>
    <row r="160" s="60" customFormat="1" x14ac:dyDescent="0.25"/>
    <row r="161" s="60" customFormat="1" x14ac:dyDescent="0.25"/>
    <row r="162" s="60" customFormat="1" x14ac:dyDescent="0.25"/>
    <row r="163" s="60" customFormat="1" x14ac:dyDescent="0.25"/>
    <row r="164" s="60" customFormat="1" x14ac:dyDescent="0.25"/>
    <row r="165" s="60" customFormat="1" x14ac:dyDescent="0.25"/>
    <row r="166" s="60" customFormat="1" x14ac:dyDescent="0.25"/>
    <row r="167" s="60" customFormat="1" x14ac:dyDescent="0.25"/>
    <row r="168" s="60" customFormat="1" x14ac:dyDescent="0.25"/>
    <row r="169" s="60" customFormat="1" x14ac:dyDescent="0.25"/>
    <row r="170" s="60" customFormat="1" x14ac:dyDescent="0.25"/>
    <row r="171" s="60" customFormat="1" x14ac:dyDescent="0.25"/>
    <row r="172" s="60" customFormat="1" x14ac:dyDescent="0.25"/>
    <row r="173" s="60" customFormat="1" x14ac:dyDescent="0.25"/>
    <row r="174" s="60" customFormat="1" x14ac:dyDescent="0.25"/>
    <row r="175" s="60" customFormat="1" x14ac:dyDescent="0.25"/>
    <row r="176" s="60" customFormat="1" x14ac:dyDescent="0.25"/>
    <row r="177" s="60" customFormat="1" x14ac:dyDescent="0.25"/>
    <row r="178" s="60" customFormat="1" x14ac:dyDescent="0.25"/>
    <row r="179" s="60" customFormat="1" x14ac:dyDescent="0.25"/>
    <row r="180" s="60" customFormat="1" x14ac:dyDescent="0.25"/>
    <row r="181" s="60" customFormat="1" x14ac:dyDescent="0.25"/>
    <row r="182" s="60" customFormat="1" x14ac:dyDescent="0.25"/>
    <row r="183" s="60" customFormat="1" x14ac:dyDescent="0.25"/>
    <row r="184" s="60" customFormat="1" x14ac:dyDescent="0.25"/>
    <row r="185" s="60" customFormat="1" x14ac:dyDescent="0.25"/>
    <row r="186" s="60" customFormat="1" x14ac:dyDescent="0.25"/>
    <row r="187" s="60" customFormat="1" x14ac:dyDescent="0.25"/>
    <row r="188" s="60" customFormat="1" x14ac:dyDescent="0.25"/>
    <row r="189" s="60" customFormat="1" x14ac:dyDescent="0.25"/>
    <row r="190" s="60" customFormat="1" x14ac:dyDescent="0.25"/>
    <row r="191" s="60" customFormat="1" x14ac:dyDescent="0.25"/>
    <row r="192" s="60" customFormat="1" x14ac:dyDescent="0.25"/>
    <row r="193" s="60" customFormat="1" x14ac:dyDescent="0.25"/>
    <row r="194" s="60" customFormat="1" x14ac:dyDescent="0.25"/>
    <row r="195" s="60" customFormat="1" x14ac:dyDescent="0.25"/>
    <row r="196" s="60" customFormat="1" x14ac:dyDescent="0.25"/>
    <row r="197" s="60" customFormat="1" x14ac:dyDescent="0.25"/>
    <row r="198" s="60" customFormat="1" x14ac:dyDescent="0.25"/>
    <row r="199" s="60" customFormat="1" x14ac:dyDescent="0.25"/>
    <row r="200" s="60" customFormat="1" x14ac:dyDescent="0.25"/>
    <row r="201" s="60" customFormat="1" x14ac:dyDescent="0.25"/>
    <row r="202" s="60" customFormat="1" x14ac:dyDescent="0.25"/>
    <row r="203" s="60" customFormat="1" x14ac:dyDescent="0.25"/>
    <row r="204" s="60" customFormat="1" x14ac:dyDescent="0.25"/>
    <row r="205" s="60" customFormat="1" x14ac:dyDescent="0.25"/>
    <row r="206" s="60" customFormat="1" x14ac:dyDescent="0.25"/>
    <row r="207" s="60" customFormat="1" x14ac:dyDescent="0.25"/>
    <row r="208" s="60" customFormat="1" x14ac:dyDescent="0.25"/>
    <row r="209" s="60" customFormat="1" x14ac:dyDescent="0.25"/>
    <row r="210" s="60" customFormat="1" x14ac:dyDescent="0.25"/>
    <row r="211" s="60" customFormat="1" x14ac:dyDescent="0.25"/>
    <row r="212" s="60" customFormat="1" x14ac:dyDescent="0.25"/>
    <row r="213" s="60" customFormat="1" x14ac:dyDescent="0.25"/>
    <row r="214" s="60" customFormat="1" x14ac:dyDescent="0.25"/>
    <row r="215" s="60" customFormat="1" x14ac:dyDescent="0.25"/>
    <row r="216" s="60" customFormat="1" x14ac:dyDescent="0.25"/>
    <row r="217" s="60" customFormat="1" x14ac:dyDescent="0.25"/>
    <row r="218" s="60" customFormat="1" x14ac:dyDescent="0.25"/>
    <row r="219" s="60" customFormat="1" x14ac:dyDescent="0.25"/>
    <row r="220" s="60" customFormat="1" x14ac:dyDescent="0.25"/>
    <row r="221" s="60" customFormat="1" x14ac:dyDescent="0.25"/>
    <row r="222" s="60" customFormat="1" x14ac:dyDescent="0.25"/>
    <row r="223" s="60" customFormat="1" x14ac:dyDescent="0.25"/>
    <row r="224" s="60" customFormat="1" x14ac:dyDescent="0.25"/>
    <row r="225" spans="2:8" s="60" customFormat="1" x14ac:dyDescent="0.25"/>
    <row r="226" spans="2:8" s="60" customFormat="1" x14ac:dyDescent="0.25"/>
    <row r="227" spans="2:8" s="60" customFormat="1" x14ac:dyDescent="0.25"/>
    <row r="228" spans="2:8" s="60" customFormat="1" x14ac:dyDescent="0.25"/>
    <row r="229" spans="2:8" s="60" customFormat="1" x14ac:dyDescent="0.25"/>
    <row r="230" spans="2:8" s="60" customFormat="1" x14ac:dyDescent="0.25"/>
    <row r="231" spans="2:8" s="60" customFormat="1" x14ac:dyDescent="0.25"/>
    <row r="232" spans="2:8" s="60" customFormat="1" x14ac:dyDescent="0.25"/>
    <row r="233" spans="2:8" s="60" customFormat="1" x14ac:dyDescent="0.25"/>
    <row r="234" spans="2:8" s="60" customFormat="1" x14ac:dyDescent="0.25"/>
    <row r="235" spans="2:8" s="60" customFormat="1" x14ac:dyDescent="0.25"/>
    <row r="236" spans="2:8" s="60" customFormat="1" x14ac:dyDescent="0.25"/>
    <row r="237" spans="2:8" s="60" customFormat="1" x14ac:dyDescent="0.25"/>
    <row r="238" spans="2:8" s="60" customFormat="1" x14ac:dyDescent="0.25"/>
    <row r="239" spans="2:8" x14ac:dyDescent="0.25">
      <c r="B239" s="60"/>
      <c r="C239" s="60"/>
      <c r="D239" s="60"/>
      <c r="E239" s="60"/>
      <c r="F239" s="60"/>
      <c r="G239" s="60"/>
      <c r="H239" s="60"/>
    </row>
    <row r="240" spans="2:8" x14ac:dyDescent="0.25">
      <c r="B240" s="60"/>
      <c r="C240" s="60"/>
      <c r="D240" s="60"/>
      <c r="E240" s="60"/>
      <c r="F240" s="60"/>
      <c r="G240" s="60"/>
      <c r="H240" s="60"/>
    </row>
    <row r="241" spans="2:8" x14ac:dyDescent="0.25">
      <c r="B241" s="60"/>
      <c r="C241" s="60"/>
      <c r="D241" s="60"/>
      <c r="E241" s="60"/>
      <c r="F241" s="60"/>
      <c r="G241" s="60"/>
      <c r="H241" s="60"/>
    </row>
    <row r="242" spans="2:8" x14ac:dyDescent="0.25">
      <c r="B242" s="60"/>
      <c r="C242" s="60"/>
      <c r="D242" s="60"/>
      <c r="E242" s="60"/>
      <c r="F242" s="60"/>
      <c r="G242" s="60"/>
      <c r="H242" s="60"/>
    </row>
    <row r="243" spans="2:8" x14ac:dyDescent="0.25">
      <c r="B243" s="60"/>
      <c r="C243" s="60"/>
      <c r="D243" s="60"/>
      <c r="E243" s="60"/>
      <c r="F243" s="60"/>
      <c r="G243" s="60"/>
      <c r="H243" s="60"/>
    </row>
    <row r="244" spans="2:8" x14ac:dyDescent="0.25">
      <c r="B244" s="60"/>
      <c r="C244" s="60"/>
      <c r="D244" s="60"/>
      <c r="E244" s="60"/>
      <c r="F244" s="60"/>
      <c r="G244" s="60"/>
      <c r="H244" s="60"/>
    </row>
    <row r="245" spans="2:8" x14ac:dyDescent="0.25">
      <c r="B245" s="60"/>
      <c r="C245" s="60"/>
      <c r="D245" s="60"/>
      <c r="E245" s="60"/>
      <c r="F245" s="60"/>
      <c r="G245" s="60"/>
      <c r="H245" s="60"/>
    </row>
    <row r="246" spans="2:8" x14ac:dyDescent="0.25">
      <c r="B246" s="60"/>
      <c r="C246" s="60"/>
      <c r="D246" s="60"/>
      <c r="E246" s="60"/>
      <c r="F246" s="60"/>
      <c r="G246" s="60"/>
      <c r="H246" s="60"/>
    </row>
    <row r="247" spans="2:8" x14ac:dyDescent="0.25">
      <c r="B247" s="60"/>
      <c r="C247" s="60"/>
      <c r="D247" s="60"/>
      <c r="E247" s="60"/>
      <c r="F247" s="60"/>
      <c r="G247" s="60"/>
      <c r="H247" s="60"/>
    </row>
    <row r="248" spans="2:8" x14ac:dyDescent="0.25">
      <c r="B248" s="60"/>
      <c r="C248" s="60"/>
      <c r="D248" s="60"/>
      <c r="E248" s="60"/>
      <c r="F248" s="60"/>
      <c r="G248" s="60"/>
      <c r="H248" s="60"/>
    </row>
    <row r="249" spans="2:8" x14ac:dyDescent="0.25">
      <c r="B249" s="60"/>
      <c r="C249" s="60"/>
      <c r="D249" s="60"/>
      <c r="E249" s="60"/>
      <c r="F249" s="60"/>
      <c r="G249" s="60"/>
      <c r="H249" s="60"/>
    </row>
  </sheetData>
  <mergeCells count="33">
    <mergeCell ref="G105:H105"/>
    <mergeCell ref="G106:H106"/>
    <mergeCell ref="E103:H103"/>
    <mergeCell ref="K9:K10"/>
    <mergeCell ref="J9:J10"/>
    <mergeCell ref="E21:F21"/>
    <mergeCell ref="E22:F22"/>
    <mergeCell ref="E23:F23"/>
    <mergeCell ref="E24:F24"/>
    <mergeCell ref="E59:G59"/>
    <mergeCell ref="E43:F43"/>
    <mergeCell ref="E44:F44"/>
    <mergeCell ref="P9:P10"/>
    <mergeCell ref="L9:L10"/>
    <mergeCell ref="M9:M10"/>
    <mergeCell ref="N9:N10"/>
    <mergeCell ref="O9:O10"/>
    <mergeCell ref="H123:I123"/>
    <mergeCell ref="H124:I124"/>
    <mergeCell ref="D126:E126"/>
    <mergeCell ref="P30:P31"/>
    <mergeCell ref="H64:I64"/>
    <mergeCell ref="E60:F60"/>
    <mergeCell ref="H61:I61"/>
    <mergeCell ref="H62:I62"/>
    <mergeCell ref="H63:I63"/>
    <mergeCell ref="D68:E68"/>
    <mergeCell ref="D96:E96"/>
    <mergeCell ref="G107:H107"/>
    <mergeCell ref="G108:H108"/>
    <mergeCell ref="G109:H109"/>
    <mergeCell ref="F96:G96"/>
    <mergeCell ref="G104:H104"/>
  </mergeCells>
  <dataValidations count="2">
    <dataValidation type="list" showInputMessage="1" showErrorMessage="1" sqref="D81">
      <formula1>$B$104:$B$106</formula1>
    </dataValidation>
    <dataValidation type="list" showInputMessage="1" showErrorMessage="1" sqref="D82">
      <formula1>$B$109:$B$110</formula1>
    </dataValidation>
  </dataValidations>
  <pageMargins left="0.23622047244094491" right="0.23622047244094491" top="0.15748031496062992" bottom="0.15748031496062992" header="0" footer="0.11811023622047245"/>
  <pageSetup paperSize="9" scale="5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65"/>
  <sheetViews>
    <sheetView workbookViewId="0">
      <selection activeCell="Q10" sqref="Q10"/>
    </sheetView>
  </sheetViews>
  <sheetFormatPr defaultRowHeight="15" x14ac:dyDescent="0.25"/>
  <cols>
    <col min="16" max="16" width="12.140625" customWidth="1"/>
    <col min="17" max="17" width="7.28515625" customWidth="1"/>
    <col min="18" max="18" width="12" customWidth="1"/>
    <col min="19" max="19" width="11.28515625" customWidth="1"/>
    <col min="20" max="20" width="5.140625" customWidth="1"/>
    <col min="21" max="21" width="2.5703125" customWidth="1"/>
    <col min="22" max="22" width="9.85546875" bestFit="1" customWidth="1"/>
    <col min="23" max="23" width="10.7109375" bestFit="1" customWidth="1"/>
    <col min="24" max="24" width="10.85546875" bestFit="1" customWidth="1"/>
    <col min="25" max="25" width="9.85546875" bestFit="1" customWidth="1"/>
    <col min="26" max="26" width="4" customWidth="1"/>
    <col min="29" max="29" width="3.5703125" customWidth="1"/>
  </cols>
  <sheetData>
    <row r="1" spans="1:29" x14ac:dyDescent="0.25">
      <c r="A1" s="90" t="s">
        <v>4</v>
      </c>
      <c r="Q1" t="s">
        <v>82</v>
      </c>
      <c r="R1" t="s">
        <v>84</v>
      </c>
      <c r="S1" t="s">
        <v>83</v>
      </c>
      <c r="V1" s="102" t="s">
        <v>4</v>
      </c>
      <c r="W1" s="103"/>
      <c r="X1" s="103"/>
      <c r="Y1" s="103"/>
      <c r="Z1" s="103"/>
      <c r="AA1" s="103"/>
      <c r="AB1" s="103"/>
      <c r="AC1" s="104"/>
    </row>
    <row r="2" spans="1:29" x14ac:dyDescent="0.25">
      <c r="A2">
        <v>-999</v>
      </c>
      <c r="B2">
        <v>-180</v>
      </c>
      <c r="C2">
        <v>-150</v>
      </c>
      <c r="D2">
        <v>-120</v>
      </c>
      <c r="E2">
        <v>-90</v>
      </c>
      <c r="F2">
        <v>-60</v>
      </c>
      <c r="G2">
        <v>-30</v>
      </c>
      <c r="H2">
        <v>0</v>
      </c>
      <c r="I2">
        <v>30</v>
      </c>
      <c r="J2">
        <v>60</v>
      </c>
      <c r="K2">
        <v>90</v>
      </c>
      <c r="L2">
        <v>120</v>
      </c>
      <c r="M2">
        <v>150</v>
      </c>
      <c r="N2">
        <v>180</v>
      </c>
      <c r="P2" t="s">
        <v>80</v>
      </c>
      <c r="Q2">
        <f>'User version'!D8</f>
        <v>0</v>
      </c>
      <c r="R2">
        <f>FLOOR($Q$2/30,1)*30</f>
        <v>0</v>
      </c>
      <c r="S2">
        <f>CEILING($Q$2/30,1)*30</f>
        <v>0</v>
      </c>
      <c r="V2" s="105" t="s">
        <v>87</v>
      </c>
      <c r="W2" s="92" t="s">
        <v>84</v>
      </c>
      <c r="X2" s="92" t="s">
        <v>83</v>
      </c>
      <c r="Y2" s="95" t="s">
        <v>88</v>
      </c>
      <c r="Z2" s="106"/>
      <c r="AA2" s="106"/>
      <c r="AB2" s="106"/>
      <c r="AC2" s="107"/>
    </row>
    <row r="3" spans="1:29" x14ac:dyDescent="0.25">
      <c r="A3">
        <v>0</v>
      </c>
      <c r="B3">
        <v>0.9932659932659933</v>
      </c>
      <c r="C3">
        <v>0.9932659932659933</v>
      </c>
      <c r="D3">
        <v>0.9932659932659933</v>
      </c>
      <c r="E3">
        <v>0.9932659932659933</v>
      </c>
      <c r="F3">
        <v>0.9932659932659933</v>
      </c>
      <c r="G3">
        <v>0.9932659932659933</v>
      </c>
      <c r="H3">
        <v>0.9932659932659933</v>
      </c>
      <c r="I3">
        <v>0.9932659932659933</v>
      </c>
      <c r="J3">
        <v>0.9932659932659933</v>
      </c>
      <c r="K3">
        <v>0.9932659932659933</v>
      </c>
      <c r="L3">
        <v>0.9932659932659933</v>
      </c>
      <c r="M3">
        <v>0.9932659932659933</v>
      </c>
      <c r="N3">
        <v>0.9932659932659933</v>
      </c>
      <c r="V3" s="108" t="s">
        <v>85</v>
      </c>
      <c r="W3" s="93">
        <f>HLOOKUP($R$2,$B$2:$N$21,(2+FLOOR(ROUND($R$5,1)/5,1)))</f>
        <v>1</v>
      </c>
      <c r="X3" s="96">
        <f>HLOOKUP($S$2,$B$2:$N$21,(2+FLOOR(ROUND($R$5,1)/5,1)))</f>
        <v>1</v>
      </c>
      <c r="Y3" s="92" t="s">
        <v>85</v>
      </c>
      <c r="Z3" s="106"/>
      <c r="AA3" s="99" t="s">
        <v>91</v>
      </c>
      <c r="AB3" s="99">
        <f>IF($R$2=$S$2,$W$3,$W$3+(($X$3-$W$3)*($Q$2-$R$2)/($S$2-$R$2)))</f>
        <v>1</v>
      </c>
      <c r="AC3" s="107"/>
    </row>
    <row r="4" spans="1:29" x14ac:dyDescent="0.25">
      <c r="A4">
        <v>5</v>
      </c>
      <c r="B4">
        <v>0.98877665544332205</v>
      </c>
      <c r="C4">
        <v>0.98989898989898994</v>
      </c>
      <c r="D4">
        <v>0.99214365881032551</v>
      </c>
      <c r="E4">
        <v>0.99438832772166108</v>
      </c>
      <c r="F4">
        <v>0.99551066217732886</v>
      </c>
      <c r="G4">
        <v>0.99663299663299665</v>
      </c>
      <c r="H4">
        <v>0.99551066217732886</v>
      </c>
      <c r="I4">
        <v>0.99551066217732886</v>
      </c>
      <c r="J4">
        <v>0.99438832772166108</v>
      </c>
      <c r="K4">
        <v>0.99214365881032551</v>
      </c>
      <c r="L4">
        <v>0.99102132435465773</v>
      </c>
      <c r="M4">
        <v>0.98877665544332205</v>
      </c>
      <c r="N4">
        <v>0.98877665544332205</v>
      </c>
      <c r="Q4" t="s">
        <v>82</v>
      </c>
      <c r="R4" t="s">
        <v>85</v>
      </c>
      <c r="S4" t="s">
        <v>86</v>
      </c>
      <c r="V4" s="108" t="s">
        <v>86</v>
      </c>
      <c r="W4" s="94">
        <f>HLOOKUP($R$2,$B$2:$N$21,(2+FLOOR(ROUND($S$5,1)/5,1)))</f>
        <v>1</v>
      </c>
      <c r="X4" s="97">
        <f>HLOOKUP($S$2,$B$2:$N$21,(2+FLOOR(ROUND($S$5,1)/5,1)))</f>
        <v>1</v>
      </c>
      <c r="Y4" s="92" t="s">
        <v>86</v>
      </c>
      <c r="Z4" s="106"/>
      <c r="AA4" s="100" t="s">
        <v>92</v>
      </c>
      <c r="AB4" s="100">
        <f>IF($R$2=$S$2,$W$4,$W$4+(($X$4-$W$4)*($Q$2-$R$2)/($S$2-$R$2)))</f>
        <v>1</v>
      </c>
      <c r="AC4" s="107"/>
    </row>
    <row r="5" spans="1:29" x14ac:dyDescent="0.25">
      <c r="A5">
        <v>10</v>
      </c>
      <c r="B5">
        <v>0.98316498316498313</v>
      </c>
      <c r="C5">
        <v>0.98653198653198648</v>
      </c>
      <c r="D5">
        <v>0.99102132435465773</v>
      </c>
      <c r="E5">
        <v>0.99551066217732886</v>
      </c>
      <c r="F5">
        <v>0.99775533108866443</v>
      </c>
      <c r="G5">
        <v>0.99775533108866443</v>
      </c>
      <c r="H5">
        <v>0.99775533108866443</v>
      </c>
      <c r="I5">
        <v>0.99663299663299665</v>
      </c>
      <c r="J5">
        <v>0.99438832772166108</v>
      </c>
      <c r="K5">
        <v>0.99102132435465773</v>
      </c>
      <c r="L5">
        <v>0.98765432098765427</v>
      </c>
      <c r="M5">
        <v>0.98428731762065091</v>
      </c>
      <c r="N5">
        <v>0.98316498316498313</v>
      </c>
      <c r="P5" t="s">
        <v>81</v>
      </c>
      <c r="Q5">
        <f>'User version'!D9</f>
        <v>20</v>
      </c>
      <c r="R5">
        <f>FLOOR($Q$5/5,1)*5</f>
        <v>20</v>
      </c>
      <c r="S5">
        <f>CEILING($Q$5/5,1)*5</f>
        <v>20</v>
      </c>
      <c r="V5" s="109" t="s">
        <v>89</v>
      </c>
      <c r="W5" s="92" t="s">
        <v>84</v>
      </c>
      <c r="X5" s="92" t="s">
        <v>83</v>
      </c>
      <c r="Y5" s="98" t="s">
        <v>90</v>
      </c>
      <c r="Z5" s="106"/>
      <c r="AA5" s="106"/>
      <c r="AB5" s="106"/>
      <c r="AC5" s="107"/>
    </row>
    <row r="6" spans="1:29" x14ac:dyDescent="0.25">
      <c r="A6">
        <v>15</v>
      </c>
      <c r="B6">
        <v>0.97643097643097643</v>
      </c>
      <c r="C6">
        <v>0.98204264870931535</v>
      </c>
      <c r="D6">
        <v>0.98989898989898994</v>
      </c>
      <c r="E6">
        <v>0.99663299663299665</v>
      </c>
      <c r="F6">
        <v>0.99887766554433222</v>
      </c>
      <c r="G6">
        <v>1</v>
      </c>
      <c r="H6">
        <v>0.99887766554433222</v>
      </c>
      <c r="I6">
        <v>0.99663299663299665</v>
      </c>
      <c r="J6">
        <v>0.99438832772166108</v>
      </c>
      <c r="K6">
        <v>0.98989898989898994</v>
      </c>
      <c r="L6">
        <v>0.98428731762065091</v>
      </c>
      <c r="M6">
        <v>0.97755331088664421</v>
      </c>
      <c r="N6">
        <v>0.97643097643097643</v>
      </c>
      <c r="V6" s="110"/>
      <c r="W6" s="106"/>
      <c r="X6" s="106"/>
      <c r="Y6" s="106"/>
      <c r="Z6" s="106"/>
      <c r="AA6" s="101" t="s">
        <v>93</v>
      </c>
      <c r="AB6" s="101">
        <f>IF($AB$3=$AB$4,$AB$3,$AB$3+(($AB$4-$AB$3)*($Q$5-$R$5)/($S$5-$R$5)))</f>
        <v>1</v>
      </c>
      <c r="AC6" s="107"/>
    </row>
    <row r="7" spans="1:29" ht="15.75" thickBot="1" x14ac:dyDescent="0.3">
      <c r="A7">
        <v>20</v>
      </c>
      <c r="B7">
        <v>0.96857463524130183</v>
      </c>
      <c r="C7">
        <v>0.97643097643097643</v>
      </c>
      <c r="D7">
        <v>0.98877665544332205</v>
      </c>
      <c r="E7">
        <v>0.99663299663299665</v>
      </c>
      <c r="F7">
        <v>1</v>
      </c>
      <c r="G7">
        <v>1.0011223344556679</v>
      </c>
      <c r="H7">
        <v>1</v>
      </c>
      <c r="I7">
        <v>0.99775533108866443</v>
      </c>
      <c r="J7">
        <v>0.99438832772166108</v>
      </c>
      <c r="K7">
        <v>0.98989898989898994</v>
      </c>
      <c r="L7">
        <v>0.98092031425364756</v>
      </c>
      <c r="M7">
        <v>0.97081930415263751</v>
      </c>
      <c r="N7">
        <v>0.96857463524130183</v>
      </c>
      <c r="V7" s="111"/>
      <c r="W7" s="112"/>
      <c r="X7" s="112"/>
      <c r="Y7" s="112"/>
      <c r="Z7" s="112"/>
      <c r="AA7" s="112"/>
      <c r="AB7" s="112"/>
      <c r="AC7" s="113"/>
    </row>
    <row r="8" spans="1:29" ht="15.75" thickBot="1" x14ac:dyDescent="0.3">
      <c r="A8">
        <v>25</v>
      </c>
      <c r="B8">
        <v>0.96184062850729513</v>
      </c>
      <c r="C8">
        <v>0.97081930415263751</v>
      </c>
      <c r="D8">
        <v>0.98765432098765427</v>
      </c>
      <c r="E8">
        <v>0.99663299663299665</v>
      </c>
      <c r="F8">
        <v>1.0011223344556679</v>
      </c>
      <c r="G8">
        <v>1.0022446689113356</v>
      </c>
      <c r="H8">
        <v>1.0011223344556679</v>
      </c>
      <c r="I8">
        <v>0.99775533108866443</v>
      </c>
      <c r="J8">
        <v>0.99438832772166108</v>
      </c>
      <c r="K8">
        <v>0.98765432098765427</v>
      </c>
      <c r="L8">
        <v>0.97755331088664421</v>
      </c>
      <c r="M8">
        <v>0.96408529741863069</v>
      </c>
      <c r="N8">
        <v>0.96184062850729513</v>
      </c>
      <c r="P8" s="114" t="s">
        <v>94</v>
      </c>
      <c r="Q8" s="115" t="str">
        <f>'User version'!D81</f>
        <v>TS</v>
      </c>
    </row>
    <row r="9" spans="1:29" ht="15.75" thickBot="1" x14ac:dyDescent="0.3">
      <c r="A9">
        <v>30</v>
      </c>
      <c r="B9">
        <v>0.95847362514029177</v>
      </c>
      <c r="C9">
        <v>0.96520763187429848</v>
      </c>
      <c r="D9">
        <v>0.9854096520763187</v>
      </c>
      <c r="E9">
        <v>0.99775533108866443</v>
      </c>
      <c r="F9">
        <v>1.0022446689113356</v>
      </c>
      <c r="G9">
        <v>1.0022446689113356</v>
      </c>
      <c r="H9">
        <v>1.0011223344556679</v>
      </c>
      <c r="I9">
        <v>0.99887766554433222</v>
      </c>
      <c r="J9">
        <v>0.9932659932659933</v>
      </c>
      <c r="K9">
        <v>0.98653198653198648</v>
      </c>
      <c r="L9">
        <v>0.97530864197530864</v>
      </c>
      <c r="M9">
        <v>0.95735129068462399</v>
      </c>
      <c r="N9">
        <v>0.95847362514029177</v>
      </c>
      <c r="P9" s="116" t="s">
        <v>95</v>
      </c>
      <c r="Q9" s="117">
        <f>IF(Q8="SA",AB6,IF(Q8="TN",AB16,AB26))</f>
        <v>1</v>
      </c>
      <c r="V9" t="s">
        <v>96</v>
      </c>
    </row>
    <row r="10" spans="1:29" ht="15.75" thickBot="1" x14ac:dyDescent="0.3">
      <c r="A10">
        <v>35</v>
      </c>
      <c r="B10">
        <v>0.95173961840628507</v>
      </c>
      <c r="C10">
        <v>0.96184062850729513</v>
      </c>
      <c r="D10">
        <v>0.98428731762065091</v>
      </c>
      <c r="E10">
        <v>0.99663299663299665</v>
      </c>
      <c r="F10">
        <v>1.0022446689113356</v>
      </c>
      <c r="G10">
        <v>1.0033670033670035</v>
      </c>
      <c r="H10">
        <v>1.0022446689113356</v>
      </c>
      <c r="I10">
        <v>0.99775533108866443</v>
      </c>
      <c r="J10">
        <v>0.9932659932659933</v>
      </c>
      <c r="K10">
        <v>0.9854096520763187</v>
      </c>
      <c r="L10">
        <v>0.97194163860830529</v>
      </c>
      <c r="M10">
        <v>0.95173961840628507</v>
      </c>
      <c r="N10">
        <v>0.95173961840628507</v>
      </c>
    </row>
    <row r="11" spans="1:29" x14ac:dyDescent="0.25">
      <c r="A11">
        <v>40</v>
      </c>
      <c r="B11">
        <v>0.94276094276094269</v>
      </c>
      <c r="C11">
        <v>0.95735129068462399</v>
      </c>
      <c r="D11">
        <v>0.98316498316498313</v>
      </c>
      <c r="E11">
        <v>0.99775533108866443</v>
      </c>
      <c r="F11">
        <v>1.0022446689113356</v>
      </c>
      <c r="G11">
        <v>1.0044893378226711</v>
      </c>
      <c r="H11">
        <v>1.0022446689113356</v>
      </c>
      <c r="I11">
        <v>0.99775533108866443</v>
      </c>
      <c r="J11">
        <v>0.99214365881032551</v>
      </c>
      <c r="K11">
        <v>0.98428731762065091</v>
      </c>
      <c r="L11">
        <v>0.96969696969696972</v>
      </c>
      <c r="M11">
        <v>0.94612794612794604</v>
      </c>
      <c r="N11">
        <v>0.94276094276094269</v>
      </c>
      <c r="P11" s="91"/>
      <c r="V11" s="102" t="s">
        <v>6</v>
      </c>
      <c r="W11" s="103"/>
      <c r="X11" s="103"/>
      <c r="Y11" s="103"/>
      <c r="Z11" s="103"/>
      <c r="AA11" s="103"/>
      <c r="AB11" s="103"/>
      <c r="AC11" s="104"/>
    </row>
    <row r="12" spans="1:29" x14ac:dyDescent="0.25">
      <c r="A12">
        <v>45</v>
      </c>
      <c r="B12">
        <v>0.93153759820426485</v>
      </c>
      <c r="C12">
        <v>0.95286195286195285</v>
      </c>
      <c r="D12">
        <v>0.98204264870931535</v>
      </c>
      <c r="E12">
        <v>0.99663299663299665</v>
      </c>
      <c r="F12">
        <v>1.0033670033670035</v>
      </c>
      <c r="G12">
        <v>1.005611672278339</v>
      </c>
      <c r="H12">
        <v>1.0033670033670035</v>
      </c>
      <c r="I12">
        <v>0.99887766554433222</v>
      </c>
      <c r="J12">
        <v>0.99214365881032551</v>
      </c>
      <c r="K12">
        <v>0.98316498316498313</v>
      </c>
      <c r="L12">
        <v>0.96745230078563405</v>
      </c>
      <c r="M12">
        <v>0.94051627384960712</v>
      </c>
      <c r="N12">
        <v>0.93153759820426485</v>
      </c>
      <c r="V12" s="105" t="s">
        <v>87</v>
      </c>
      <c r="W12" s="92" t="s">
        <v>84</v>
      </c>
      <c r="X12" s="92" t="s">
        <v>83</v>
      </c>
      <c r="Y12" s="95" t="s">
        <v>88</v>
      </c>
      <c r="Z12" s="106"/>
      <c r="AA12" s="106"/>
      <c r="AB12" s="106"/>
      <c r="AC12" s="107"/>
    </row>
    <row r="13" spans="1:29" x14ac:dyDescent="0.25">
      <c r="A13">
        <v>50</v>
      </c>
      <c r="B13">
        <v>0.91694725028058355</v>
      </c>
      <c r="C13">
        <v>0.94837261503928161</v>
      </c>
      <c r="D13">
        <v>0.98092031425364756</v>
      </c>
      <c r="E13">
        <v>0.99663299663299665</v>
      </c>
      <c r="F13">
        <v>1.0033670033670035</v>
      </c>
      <c r="G13">
        <v>1.0067340067340067</v>
      </c>
      <c r="H13">
        <v>1.0044893378226711</v>
      </c>
      <c r="I13">
        <v>1</v>
      </c>
      <c r="J13">
        <v>0.9932659932659933</v>
      </c>
      <c r="K13">
        <v>0.98204264870931535</v>
      </c>
      <c r="L13">
        <v>0.96520763187429848</v>
      </c>
      <c r="M13">
        <v>0.93378226711560042</v>
      </c>
      <c r="N13">
        <v>0.91694725028058355</v>
      </c>
      <c r="V13" s="108" t="s">
        <v>85</v>
      </c>
      <c r="W13" s="93">
        <f>HLOOKUP($R$2,$B$24:$N$43,(2+FLOOR(ROUND($R$5,1)/5,1)))</f>
        <v>1</v>
      </c>
      <c r="X13" s="96">
        <f>HLOOKUP($S$2,$B$24:$N$43,(2+FLOOR(ROUND($R$5,1)/5,1)))</f>
        <v>1</v>
      </c>
      <c r="Y13" s="92" t="s">
        <v>85</v>
      </c>
      <c r="Z13" s="106"/>
      <c r="AA13" s="99" t="s">
        <v>91</v>
      </c>
      <c r="AB13" s="99">
        <f>IF($R$2=$S$2,$W$13,$W$13+(($X$13-$W$13)*($Q$2-$R$2)/($S$2-$R$2)))</f>
        <v>1</v>
      </c>
      <c r="AC13" s="107"/>
    </row>
    <row r="14" spans="1:29" x14ac:dyDescent="0.25">
      <c r="A14">
        <v>55</v>
      </c>
      <c r="B14">
        <v>0.90011223344556679</v>
      </c>
      <c r="C14">
        <v>0.94388327721661047</v>
      </c>
      <c r="D14">
        <v>0.97979797979797978</v>
      </c>
      <c r="E14">
        <v>0.99663299663299665</v>
      </c>
      <c r="F14">
        <v>1.0033670033670035</v>
      </c>
      <c r="G14">
        <v>1.0067340067340067</v>
      </c>
      <c r="H14">
        <v>1.005611672278339</v>
      </c>
      <c r="I14">
        <v>1</v>
      </c>
      <c r="J14">
        <v>0.99214365881032551</v>
      </c>
      <c r="K14">
        <v>0.98092031425364756</v>
      </c>
      <c r="L14">
        <v>0.96184062850729513</v>
      </c>
      <c r="M14">
        <v>0.92929292929292939</v>
      </c>
      <c r="N14">
        <v>0.90011223344556679</v>
      </c>
      <c r="V14" s="108" t="s">
        <v>86</v>
      </c>
      <c r="W14" s="94">
        <f>HLOOKUP($R$2,$B$24:$N$43,(2+FLOOR(ROUND($S$5,1)/5,1)))</f>
        <v>1</v>
      </c>
      <c r="X14" s="97">
        <f>HLOOKUP($S$2,$B$24:$N$43,(2+FLOOR(ROUND($S$5,1)/5,1)))</f>
        <v>1</v>
      </c>
      <c r="Y14" s="92" t="s">
        <v>86</v>
      </c>
      <c r="Z14" s="106"/>
      <c r="AA14" s="100" t="s">
        <v>92</v>
      </c>
      <c r="AB14" s="100">
        <f>IF($R$2=$S$2,$W$14,$W$14+(($X$14-$W$14)*($Q$2-$R$2)/($S$2-$R$2)))</f>
        <v>1</v>
      </c>
      <c r="AC14" s="107"/>
    </row>
    <row r="15" spans="1:29" x14ac:dyDescent="0.25">
      <c r="A15">
        <v>60</v>
      </c>
      <c r="B15">
        <v>0.87991021324354657</v>
      </c>
      <c r="C15">
        <v>0.94051627384960712</v>
      </c>
      <c r="D15">
        <v>0.97755331088664421</v>
      </c>
      <c r="E15">
        <v>0.99551066217732886</v>
      </c>
      <c r="F15">
        <v>1.005611672278339</v>
      </c>
      <c r="G15">
        <v>1.0078563411896746</v>
      </c>
      <c r="H15">
        <v>1.0067340067340067</v>
      </c>
      <c r="I15">
        <v>1</v>
      </c>
      <c r="J15">
        <v>0.98989898989898994</v>
      </c>
      <c r="K15">
        <v>0.97979797979797978</v>
      </c>
      <c r="L15">
        <v>0.95959595959595956</v>
      </c>
      <c r="M15">
        <v>0.92368125701459025</v>
      </c>
      <c r="N15">
        <v>0.87991021324354657</v>
      </c>
      <c r="V15" s="109" t="s">
        <v>89</v>
      </c>
      <c r="W15" s="92" t="s">
        <v>84</v>
      </c>
      <c r="X15" s="92" t="s">
        <v>83</v>
      </c>
      <c r="Y15" s="98" t="s">
        <v>90</v>
      </c>
      <c r="Z15" s="106"/>
      <c r="AA15" s="106"/>
      <c r="AB15" s="106"/>
      <c r="AC15" s="107"/>
    </row>
    <row r="16" spans="1:29" x14ac:dyDescent="0.25">
      <c r="A16">
        <v>65</v>
      </c>
      <c r="B16">
        <v>0.85970819304152635</v>
      </c>
      <c r="C16">
        <v>0.93602693602693599</v>
      </c>
      <c r="D16">
        <v>0.97643097643097643</v>
      </c>
      <c r="E16">
        <v>0.99663299663299665</v>
      </c>
      <c r="F16">
        <v>1.005611672278339</v>
      </c>
      <c r="G16">
        <v>1.0089786756453423</v>
      </c>
      <c r="H16">
        <v>1.0067340067340067</v>
      </c>
      <c r="I16">
        <v>1</v>
      </c>
      <c r="J16">
        <v>0.99102132435465773</v>
      </c>
      <c r="K16">
        <v>0.97755331088664421</v>
      </c>
      <c r="L16">
        <v>0.95622895622895621</v>
      </c>
      <c r="M16">
        <v>0.91806958473625144</v>
      </c>
      <c r="N16">
        <v>0.85970819304152635</v>
      </c>
      <c r="V16" s="110"/>
      <c r="W16" s="106"/>
      <c r="X16" s="106"/>
      <c r="Y16" s="106"/>
      <c r="Z16" s="106"/>
      <c r="AA16" s="101" t="s">
        <v>93</v>
      </c>
      <c r="AB16" s="101">
        <f>IF($AB$13=$AB$14,$AB$13,$AB$13+(($AB$14-$AB$13)*($Q$5-$R$5)/($S$5-$R$5)))</f>
        <v>1</v>
      </c>
      <c r="AC16" s="107"/>
    </row>
    <row r="17" spans="1:29" ht="15.75" thickBot="1" x14ac:dyDescent="0.3">
      <c r="A17">
        <v>70</v>
      </c>
      <c r="B17">
        <v>0.84736251402918072</v>
      </c>
      <c r="C17">
        <v>0.93041526374859707</v>
      </c>
      <c r="D17">
        <v>0.97306397306397308</v>
      </c>
      <c r="E17">
        <v>0.99551066217732886</v>
      </c>
      <c r="F17">
        <v>1.0044893378226711</v>
      </c>
      <c r="G17">
        <v>1.0089786756453423</v>
      </c>
      <c r="H17">
        <v>1.005611672278339</v>
      </c>
      <c r="I17">
        <v>1</v>
      </c>
      <c r="J17">
        <v>0.99102132435465773</v>
      </c>
      <c r="K17">
        <v>0.97755331088664421</v>
      </c>
      <c r="L17">
        <v>0.95286195286195285</v>
      </c>
      <c r="M17">
        <v>0.91245791245791241</v>
      </c>
      <c r="N17">
        <v>0.84736251402918072</v>
      </c>
      <c r="V17" s="111"/>
      <c r="W17" s="112"/>
      <c r="X17" s="112"/>
      <c r="Y17" s="112"/>
      <c r="Z17" s="112"/>
      <c r="AA17" s="112"/>
      <c r="AB17" s="112"/>
      <c r="AC17" s="113"/>
    </row>
    <row r="18" spans="1:29" x14ac:dyDescent="0.25">
      <c r="A18">
        <v>75</v>
      </c>
      <c r="B18">
        <v>0.84624017957351294</v>
      </c>
      <c r="C18">
        <v>0.92368125701459025</v>
      </c>
      <c r="D18">
        <v>0.97081930415263751</v>
      </c>
      <c r="E18">
        <v>0.9932659932659933</v>
      </c>
      <c r="F18">
        <v>1.005611672278339</v>
      </c>
      <c r="G18">
        <v>1.0089786756453423</v>
      </c>
      <c r="H18">
        <v>1.0044893378226711</v>
      </c>
      <c r="I18">
        <v>0.99887766554433222</v>
      </c>
      <c r="J18">
        <v>0.98877665544332205</v>
      </c>
      <c r="K18">
        <v>0.97418630751964086</v>
      </c>
      <c r="L18">
        <v>0.94837261503928161</v>
      </c>
      <c r="M18">
        <v>0.90460157126823793</v>
      </c>
      <c r="N18">
        <v>0.84624017957351294</v>
      </c>
    </row>
    <row r="19" spans="1:29" x14ac:dyDescent="0.25">
      <c r="A19">
        <v>80</v>
      </c>
      <c r="B19">
        <v>0.83838383838383834</v>
      </c>
      <c r="C19">
        <v>0.91582491582491588</v>
      </c>
      <c r="D19">
        <v>0.96632996632996626</v>
      </c>
      <c r="E19">
        <v>0.99438832772166108</v>
      </c>
      <c r="F19">
        <v>1.005611672278339</v>
      </c>
      <c r="G19">
        <v>1.0078563411896746</v>
      </c>
      <c r="H19">
        <v>1.0022446689113356</v>
      </c>
      <c r="I19">
        <v>0.99663299663299665</v>
      </c>
      <c r="J19">
        <v>0.98765432098765427</v>
      </c>
      <c r="K19">
        <v>0.97081930415263751</v>
      </c>
      <c r="L19">
        <v>0.94388327721661047</v>
      </c>
      <c r="M19">
        <v>0.89674523007856333</v>
      </c>
      <c r="N19">
        <v>0.83838383838383834</v>
      </c>
    </row>
    <row r="20" spans="1:29" ht="15.75" thickBot="1" x14ac:dyDescent="0.3">
      <c r="A20">
        <v>85</v>
      </c>
      <c r="B20">
        <v>0.8271604938271605</v>
      </c>
      <c r="C20">
        <v>0.9068462401795736</v>
      </c>
      <c r="D20">
        <v>0.96184062850729513</v>
      </c>
      <c r="E20">
        <v>0.99102132435465773</v>
      </c>
      <c r="F20">
        <v>1.0044893378226711</v>
      </c>
      <c r="G20">
        <v>1.005611672278339</v>
      </c>
      <c r="H20">
        <v>0.99775533108866443</v>
      </c>
      <c r="I20">
        <v>0.9932659932659933</v>
      </c>
      <c r="J20">
        <v>0.98653198653198648</v>
      </c>
      <c r="K20">
        <v>0.97081930415263751</v>
      </c>
      <c r="L20">
        <v>0.93827160493827166</v>
      </c>
      <c r="M20">
        <v>0.88552188552188538</v>
      </c>
      <c r="N20">
        <v>0.8271604938271605</v>
      </c>
    </row>
    <row r="21" spans="1:29" x14ac:dyDescent="0.25">
      <c r="A21">
        <v>90</v>
      </c>
      <c r="B21">
        <v>0.81144781144781142</v>
      </c>
      <c r="C21">
        <v>0.89562289562289565</v>
      </c>
      <c r="D21">
        <v>0.95622895622895621</v>
      </c>
      <c r="E21">
        <v>0.98765432098765427</v>
      </c>
      <c r="F21">
        <v>1.0033670033670035</v>
      </c>
      <c r="G21">
        <v>1.0011223344556679</v>
      </c>
      <c r="H21">
        <v>0.99102132435465773</v>
      </c>
      <c r="I21">
        <v>0.98765432098765427</v>
      </c>
      <c r="J21">
        <v>0.98204264870931535</v>
      </c>
      <c r="K21">
        <v>0.96520763187429848</v>
      </c>
      <c r="L21">
        <v>0.93153759820426485</v>
      </c>
      <c r="M21">
        <v>0.87542087542087543</v>
      </c>
      <c r="N21">
        <v>0.81144781144781142</v>
      </c>
      <c r="V21" s="102" t="s">
        <v>5</v>
      </c>
      <c r="W21" s="103"/>
      <c r="X21" s="103"/>
      <c r="Y21" s="103"/>
      <c r="Z21" s="103"/>
      <c r="AA21" s="103"/>
      <c r="AB21" s="103"/>
      <c r="AC21" s="104"/>
    </row>
    <row r="22" spans="1:29" x14ac:dyDescent="0.25">
      <c r="V22" s="105" t="s">
        <v>87</v>
      </c>
      <c r="W22" s="92" t="s">
        <v>84</v>
      </c>
      <c r="X22" s="92" t="s">
        <v>83</v>
      </c>
      <c r="Y22" s="95" t="s">
        <v>88</v>
      </c>
      <c r="Z22" s="106"/>
      <c r="AA22" s="106"/>
      <c r="AB22" s="106"/>
      <c r="AC22" s="107"/>
    </row>
    <row r="23" spans="1:29" x14ac:dyDescent="0.25">
      <c r="A23" s="90" t="s">
        <v>6</v>
      </c>
      <c r="V23" s="108" t="s">
        <v>85</v>
      </c>
      <c r="W23" s="93">
        <f>HLOOKUP($R$2,$B$46:$N$65,(2+FLOOR(ROUND($R$5,1)/5,1)))</f>
        <v>1</v>
      </c>
      <c r="X23" s="96">
        <f>HLOOKUP($S$2,$B$46:$N$65,(2+FLOOR(ROUND($R$5,1)/5,1)))</f>
        <v>1</v>
      </c>
      <c r="Y23" s="92" t="s">
        <v>85</v>
      </c>
      <c r="Z23" s="106"/>
      <c r="AA23" s="99" t="s">
        <v>91</v>
      </c>
      <c r="AB23" s="99">
        <f>IF($R$2=$S$2,$W$23,$W$23+(($X$23-$W$23)*($Q$2-$R$2)/($S$2-$R$2)))</f>
        <v>1</v>
      </c>
      <c r="AC23" s="107"/>
    </row>
    <row r="24" spans="1:29" x14ac:dyDescent="0.25">
      <c r="A24">
        <v>-999</v>
      </c>
      <c r="B24">
        <v>-180</v>
      </c>
      <c r="C24">
        <v>-150</v>
      </c>
      <c r="D24">
        <v>-120</v>
      </c>
      <c r="E24">
        <v>-90</v>
      </c>
      <c r="F24">
        <v>-60</v>
      </c>
      <c r="G24">
        <v>-30</v>
      </c>
      <c r="H24">
        <v>0</v>
      </c>
      <c r="I24">
        <v>30</v>
      </c>
      <c r="J24">
        <v>60</v>
      </c>
      <c r="K24">
        <v>90</v>
      </c>
      <c r="L24">
        <v>120</v>
      </c>
      <c r="M24">
        <v>150</v>
      </c>
      <c r="N24">
        <v>180</v>
      </c>
      <c r="V24" s="108" t="s">
        <v>86</v>
      </c>
      <c r="W24" s="94">
        <f>HLOOKUP($R$2,$B$46:$N$65,(2+FLOOR(ROUND($S$5,1)/5,1)))</f>
        <v>1</v>
      </c>
      <c r="X24" s="97">
        <f>HLOOKUP($S$2,$B$46:$N$65,(2+FLOOR(ROUND($S$5,1)/5,1)))</f>
        <v>1</v>
      </c>
      <c r="Y24" s="92" t="s">
        <v>86</v>
      </c>
      <c r="Z24" s="106"/>
      <c r="AA24" s="100" t="s">
        <v>92</v>
      </c>
      <c r="AB24" s="100">
        <f>IF($R$2=$S$2,$W$24,$W$24+(($X$24-$W$24)*($Q$2-$R$2)/($S$2-$R$2)))</f>
        <v>1</v>
      </c>
      <c r="AC24" s="107"/>
    </row>
    <row r="25" spans="1:29" x14ac:dyDescent="0.25">
      <c r="A25">
        <v>0</v>
      </c>
      <c r="B25">
        <v>0.99022801302931596</v>
      </c>
      <c r="C25">
        <v>0.99022801302931596</v>
      </c>
      <c r="D25">
        <v>0.99022801302931596</v>
      </c>
      <c r="E25">
        <v>0.99022801302931596</v>
      </c>
      <c r="F25">
        <v>0.99022801302931596</v>
      </c>
      <c r="G25">
        <v>0.99022801302931596</v>
      </c>
      <c r="H25">
        <v>0.99022801302931596</v>
      </c>
      <c r="I25">
        <v>0.99022801302931596</v>
      </c>
      <c r="J25">
        <v>0.99022801302931596</v>
      </c>
      <c r="K25">
        <v>0.99022801302931596</v>
      </c>
      <c r="L25">
        <v>0.99022801302931596</v>
      </c>
      <c r="M25">
        <v>0.99022801302931596</v>
      </c>
      <c r="N25">
        <v>0.99022801302931596</v>
      </c>
      <c r="V25" s="109" t="s">
        <v>89</v>
      </c>
      <c r="W25" s="92" t="s">
        <v>84</v>
      </c>
      <c r="X25" s="92" t="s">
        <v>83</v>
      </c>
      <c r="Y25" s="98" t="s">
        <v>90</v>
      </c>
      <c r="Z25" s="106"/>
      <c r="AA25" s="106"/>
      <c r="AB25" s="106"/>
      <c r="AC25" s="107"/>
    </row>
    <row r="26" spans="1:29" x14ac:dyDescent="0.25">
      <c r="A26">
        <v>5</v>
      </c>
      <c r="B26">
        <v>0.98479913137893593</v>
      </c>
      <c r="C26">
        <v>0.98588490770901194</v>
      </c>
      <c r="D26">
        <v>0.98805646036916395</v>
      </c>
      <c r="E26">
        <v>0.99022801302931596</v>
      </c>
      <c r="F26">
        <v>0.99239956568946797</v>
      </c>
      <c r="G26">
        <v>0.99348534201954397</v>
      </c>
      <c r="H26">
        <v>0.99348534201954397</v>
      </c>
      <c r="I26">
        <v>0.99239956568946797</v>
      </c>
      <c r="J26">
        <v>0.99131378935939196</v>
      </c>
      <c r="K26">
        <v>0.98914223669923995</v>
      </c>
      <c r="L26">
        <v>0.98697068403908794</v>
      </c>
      <c r="M26">
        <v>0.98479913137893593</v>
      </c>
      <c r="N26">
        <v>0.98479913137893593</v>
      </c>
      <c r="V26" s="110"/>
      <c r="W26" s="106"/>
      <c r="X26" s="106"/>
      <c r="Y26" s="106"/>
      <c r="Z26" s="106"/>
      <c r="AA26" s="101" t="s">
        <v>93</v>
      </c>
      <c r="AB26" s="101">
        <f>IF($AB$23=$AB$24,$AB$23,$AB$23+(($AB$24-$AB$23)*($Q$5-$R$5)/($S$5-$R$5)))</f>
        <v>1</v>
      </c>
      <c r="AC26" s="107"/>
    </row>
    <row r="27" spans="1:29" ht="15.75" thickBot="1" x14ac:dyDescent="0.3">
      <c r="A27">
        <v>10</v>
      </c>
      <c r="B27">
        <v>0.9782844733984799</v>
      </c>
      <c r="C27">
        <v>0.98154180238870792</v>
      </c>
      <c r="D27">
        <v>0.98697068403908794</v>
      </c>
      <c r="E27">
        <v>0.99131378935939196</v>
      </c>
      <c r="F27">
        <v>0.99457111834961998</v>
      </c>
      <c r="G27">
        <v>0.99674267100977199</v>
      </c>
      <c r="H27">
        <v>0.99674267100977199</v>
      </c>
      <c r="I27">
        <v>0.99457111834961998</v>
      </c>
      <c r="J27">
        <v>0.99239956568946797</v>
      </c>
      <c r="K27">
        <v>0.98805646036916395</v>
      </c>
      <c r="L27">
        <v>0.98371335504885993</v>
      </c>
      <c r="M27">
        <v>0.97937024972855591</v>
      </c>
      <c r="N27">
        <v>0.9782844733984799</v>
      </c>
      <c r="V27" s="111"/>
      <c r="W27" s="112"/>
      <c r="X27" s="112"/>
      <c r="Y27" s="112"/>
      <c r="Z27" s="112"/>
      <c r="AA27" s="112"/>
      <c r="AB27" s="112"/>
      <c r="AC27" s="113"/>
    </row>
    <row r="28" spans="1:29" x14ac:dyDescent="0.25">
      <c r="A28">
        <v>15</v>
      </c>
      <c r="B28">
        <v>0.97176981541802387</v>
      </c>
      <c r="C28">
        <v>0.97611292073832789</v>
      </c>
      <c r="D28">
        <v>0.98479913137893593</v>
      </c>
      <c r="E28">
        <v>0.99239956568946797</v>
      </c>
      <c r="F28">
        <v>0.99674267100977199</v>
      </c>
      <c r="G28">
        <v>0.998914223669924</v>
      </c>
      <c r="H28">
        <v>0.998914223669924</v>
      </c>
      <c r="I28">
        <v>0.99674267100977199</v>
      </c>
      <c r="J28">
        <v>0.99239956568946797</v>
      </c>
      <c r="K28">
        <v>0.98697068403908794</v>
      </c>
      <c r="L28">
        <v>0.98045602605863191</v>
      </c>
      <c r="M28">
        <v>0.97285559174809988</v>
      </c>
      <c r="N28">
        <v>0.97176981541802387</v>
      </c>
    </row>
    <row r="29" spans="1:29" x14ac:dyDescent="0.25">
      <c r="A29">
        <v>20</v>
      </c>
      <c r="B29">
        <v>0.96634093376764385</v>
      </c>
      <c r="C29">
        <v>0.97176981541802387</v>
      </c>
      <c r="D29">
        <v>0.98262757871878392</v>
      </c>
      <c r="E29">
        <v>0.99239956568946797</v>
      </c>
      <c r="F29">
        <v>0.99782844733984799</v>
      </c>
      <c r="G29">
        <v>1</v>
      </c>
      <c r="H29">
        <v>1</v>
      </c>
      <c r="I29">
        <v>0.99782844733984799</v>
      </c>
      <c r="J29">
        <v>0.99348534201954397</v>
      </c>
      <c r="K29">
        <v>0.98588490770901194</v>
      </c>
      <c r="L29">
        <v>0.97611292073832789</v>
      </c>
      <c r="M29">
        <v>0.96742671009771986</v>
      </c>
      <c r="N29">
        <v>0.96634093376764385</v>
      </c>
    </row>
    <row r="30" spans="1:29" x14ac:dyDescent="0.25">
      <c r="A30">
        <v>25</v>
      </c>
      <c r="B30">
        <v>0.95874049945711182</v>
      </c>
      <c r="C30">
        <v>0.96634093376764385</v>
      </c>
      <c r="D30">
        <v>0.98154180238870792</v>
      </c>
      <c r="E30">
        <v>0.99348534201954397</v>
      </c>
      <c r="F30">
        <v>0.998914223669924</v>
      </c>
      <c r="G30">
        <v>1.001085776330076</v>
      </c>
      <c r="H30">
        <v>1.001085776330076</v>
      </c>
      <c r="I30">
        <v>0.998914223669924</v>
      </c>
      <c r="J30">
        <v>0.99348534201954397</v>
      </c>
      <c r="K30">
        <v>0.98588490770901194</v>
      </c>
      <c r="L30">
        <v>0.97394136807817588</v>
      </c>
      <c r="M30">
        <v>0.96091205211726383</v>
      </c>
      <c r="N30">
        <v>0.95874049945711182</v>
      </c>
    </row>
    <row r="31" spans="1:29" x14ac:dyDescent="0.25">
      <c r="A31">
        <v>30</v>
      </c>
      <c r="B31">
        <v>0.95005428881650378</v>
      </c>
      <c r="C31">
        <v>0.96091205211726383</v>
      </c>
      <c r="D31">
        <v>0.98045602605863191</v>
      </c>
      <c r="E31">
        <v>0.99348534201954397</v>
      </c>
      <c r="F31">
        <v>1</v>
      </c>
      <c r="G31">
        <v>1.002171552660152</v>
      </c>
      <c r="H31">
        <v>1.002171552660152</v>
      </c>
      <c r="I31">
        <v>0.998914223669924</v>
      </c>
      <c r="J31">
        <v>0.99348534201954397</v>
      </c>
      <c r="K31">
        <v>0.98479913137893593</v>
      </c>
      <c r="L31">
        <v>0.97068403908794787</v>
      </c>
      <c r="M31">
        <v>0.9543973941368078</v>
      </c>
      <c r="N31">
        <v>0.95005428881650378</v>
      </c>
    </row>
    <row r="32" spans="1:29" x14ac:dyDescent="0.25">
      <c r="A32">
        <v>35</v>
      </c>
      <c r="B32">
        <v>0.94028230184581973</v>
      </c>
      <c r="C32">
        <v>0.9554831704668838</v>
      </c>
      <c r="D32">
        <v>0.97937024972855591</v>
      </c>
      <c r="E32">
        <v>0.99348534201954397</v>
      </c>
      <c r="F32">
        <v>1.001085776330076</v>
      </c>
      <c r="G32">
        <v>1.004343105320304</v>
      </c>
      <c r="H32">
        <v>1.003257328990228</v>
      </c>
      <c r="I32">
        <v>1</v>
      </c>
      <c r="J32">
        <v>0.99348534201954397</v>
      </c>
      <c r="K32">
        <v>0.98371335504885993</v>
      </c>
      <c r="L32">
        <v>0.96851248642779586</v>
      </c>
      <c r="M32">
        <v>0.94788273615635177</v>
      </c>
      <c r="N32">
        <v>0.94028230184581973</v>
      </c>
    </row>
    <row r="33" spans="1:14" x14ac:dyDescent="0.25">
      <c r="A33">
        <v>40</v>
      </c>
      <c r="B33">
        <v>0.92833876221498368</v>
      </c>
      <c r="C33">
        <v>0.95005428881650378</v>
      </c>
      <c r="D33">
        <v>0.9782844733984799</v>
      </c>
      <c r="E33">
        <v>0.99348534201954397</v>
      </c>
      <c r="F33">
        <v>1.002171552660152</v>
      </c>
      <c r="G33">
        <v>1.0054288816503798</v>
      </c>
      <c r="H33">
        <v>1.004343105320304</v>
      </c>
      <c r="I33">
        <v>1.001085776330076</v>
      </c>
      <c r="J33">
        <v>0.99348534201954397</v>
      </c>
      <c r="K33">
        <v>0.98371335504885993</v>
      </c>
      <c r="L33">
        <v>0.96742671009771986</v>
      </c>
      <c r="M33">
        <v>0.94136807817589574</v>
      </c>
      <c r="N33">
        <v>0.92833876221498368</v>
      </c>
    </row>
    <row r="34" spans="1:14" x14ac:dyDescent="0.25">
      <c r="A34">
        <v>45</v>
      </c>
      <c r="B34">
        <v>0.91530944625407162</v>
      </c>
      <c r="C34">
        <v>0.94462540716612375</v>
      </c>
      <c r="D34">
        <v>0.9771986970684039</v>
      </c>
      <c r="E34">
        <v>0.99348534201954397</v>
      </c>
      <c r="F34">
        <v>1.002171552660152</v>
      </c>
      <c r="G34">
        <v>1.0054288816503798</v>
      </c>
      <c r="H34">
        <v>1.0054288816503798</v>
      </c>
      <c r="I34">
        <v>1.001085776330076</v>
      </c>
      <c r="J34">
        <v>0.99348534201954397</v>
      </c>
      <c r="K34">
        <v>0.98262757871878392</v>
      </c>
      <c r="L34">
        <v>0.96525515743756785</v>
      </c>
      <c r="M34">
        <v>0.93593919652551572</v>
      </c>
      <c r="N34">
        <v>0.91530944625407162</v>
      </c>
    </row>
    <row r="35" spans="1:14" x14ac:dyDescent="0.25">
      <c r="A35">
        <v>50</v>
      </c>
      <c r="B35">
        <v>0.90228013029315957</v>
      </c>
      <c r="C35">
        <v>0.94136807817589574</v>
      </c>
      <c r="D35">
        <v>0.97502714440825189</v>
      </c>
      <c r="E35">
        <v>0.99348534201954397</v>
      </c>
      <c r="F35">
        <v>1.002171552660152</v>
      </c>
      <c r="G35">
        <v>1.0054288816503798</v>
      </c>
      <c r="H35">
        <v>1.006514657980456</v>
      </c>
      <c r="I35">
        <v>1.001085776330076</v>
      </c>
      <c r="J35">
        <v>0.99239956568946797</v>
      </c>
      <c r="K35">
        <v>0.98154180238870792</v>
      </c>
      <c r="L35">
        <v>0.96308360477741584</v>
      </c>
      <c r="M35">
        <v>0.9326818675352877</v>
      </c>
      <c r="N35">
        <v>0.90228013029315957</v>
      </c>
    </row>
    <row r="36" spans="1:14" x14ac:dyDescent="0.25">
      <c r="A36">
        <v>55</v>
      </c>
      <c r="B36">
        <v>0.89142236699239952</v>
      </c>
      <c r="C36">
        <v>0.93811074918566772</v>
      </c>
      <c r="D36">
        <v>0.97394136807817588</v>
      </c>
      <c r="E36">
        <v>0.99239956568946797</v>
      </c>
      <c r="F36">
        <v>1.003257328990228</v>
      </c>
      <c r="G36">
        <v>1.006514657980456</v>
      </c>
      <c r="H36">
        <v>1.006514657980456</v>
      </c>
      <c r="I36">
        <v>1.001085776330076</v>
      </c>
      <c r="J36">
        <v>0.99239956568946797</v>
      </c>
      <c r="K36">
        <v>0.97937024972855591</v>
      </c>
      <c r="L36">
        <v>0.95982627578718782</v>
      </c>
      <c r="M36">
        <v>0.92942453854505969</v>
      </c>
      <c r="N36">
        <v>0.89142236699239952</v>
      </c>
    </row>
    <row r="37" spans="1:14" x14ac:dyDescent="0.25">
      <c r="A37">
        <v>60</v>
      </c>
      <c r="B37">
        <v>0.88490770901194349</v>
      </c>
      <c r="C37">
        <v>0.93485342019543971</v>
      </c>
      <c r="D37">
        <v>0.97068403908794787</v>
      </c>
      <c r="E37">
        <v>0.99239956568946797</v>
      </c>
      <c r="F37">
        <v>1.003257328990228</v>
      </c>
      <c r="G37">
        <v>1.0076004343105318</v>
      </c>
      <c r="H37">
        <v>1.006514657980456</v>
      </c>
      <c r="I37">
        <v>1.001085776330076</v>
      </c>
      <c r="J37">
        <v>0.99239956568946797</v>
      </c>
      <c r="K37">
        <v>0.9782844733984799</v>
      </c>
      <c r="L37">
        <v>0.95656894679695981</v>
      </c>
      <c r="M37">
        <v>0.92508143322475567</v>
      </c>
      <c r="N37">
        <v>0.88490770901194349</v>
      </c>
    </row>
    <row r="38" spans="1:14" x14ac:dyDescent="0.25">
      <c r="A38">
        <v>65</v>
      </c>
      <c r="B38">
        <v>0.88490770901194349</v>
      </c>
      <c r="C38">
        <v>0.92942453854505969</v>
      </c>
      <c r="D38">
        <v>0.96742671009771986</v>
      </c>
      <c r="E38">
        <v>0.99022801302931596</v>
      </c>
      <c r="F38">
        <v>1.002171552660152</v>
      </c>
      <c r="G38">
        <v>1.0076004343105318</v>
      </c>
      <c r="H38">
        <v>1.006514657980456</v>
      </c>
      <c r="I38">
        <v>1.001085776330076</v>
      </c>
      <c r="J38">
        <v>0.99022801302931596</v>
      </c>
      <c r="K38">
        <v>0.97611292073832789</v>
      </c>
      <c r="L38">
        <v>0.95331161780673179</v>
      </c>
      <c r="M38">
        <v>0.91965255157437564</v>
      </c>
      <c r="N38">
        <v>0.88490770901194349</v>
      </c>
    </row>
    <row r="39" spans="1:14" x14ac:dyDescent="0.25">
      <c r="A39">
        <v>70</v>
      </c>
      <c r="B39">
        <v>0.87947882736156358</v>
      </c>
      <c r="C39">
        <v>0.92290988056460366</v>
      </c>
      <c r="D39">
        <v>0.96308360477741584</v>
      </c>
      <c r="E39">
        <v>0.98914223669923995</v>
      </c>
      <c r="F39">
        <v>1.002171552660152</v>
      </c>
      <c r="G39">
        <v>1.006514657980456</v>
      </c>
      <c r="H39">
        <v>1.0054288816503798</v>
      </c>
      <c r="I39">
        <v>1</v>
      </c>
      <c r="J39">
        <v>0.98805646036916395</v>
      </c>
      <c r="K39">
        <v>0.97285559174809988</v>
      </c>
      <c r="L39">
        <v>0.94896851248642777</v>
      </c>
      <c r="M39">
        <v>0.91205211726384361</v>
      </c>
      <c r="N39">
        <v>0.87947882736156358</v>
      </c>
    </row>
    <row r="40" spans="1:14" x14ac:dyDescent="0.25">
      <c r="A40">
        <v>75</v>
      </c>
      <c r="B40">
        <v>0.87079261672095554</v>
      </c>
      <c r="C40">
        <v>0.91530944625407162</v>
      </c>
      <c r="D40">
        <v>0.95874049945711182</v>
      </c>
      <c r="E40">
        <v>0.98588490770901194</v>
      </c>
      <c r="F40">
        <v>1.001085776330076</v>
      </c>
      <c r="G40">
        <v>1.0054288816503798</v>
      </c>
      <c r="H40">
        <v>1.004343105320304</v>
      </c>
      <c r="I40">
        <v>0.99782844733984799</v>
      </c>
      <c r="J40">
        <v>0.98805646036916395</v>
      </c>
      <c r="K40">
        <v>0.97068403908794787</v>
      </c>
      <c r="L40">
        <v>0.94353963083604775</v>
      </c>
      <c r="M40">
        <v>0.90336590662323557</v>
      </c>
      <c r="N40">
        <v>0.87079261672095554</v>
      </c>
    </row>
    <row r="41" spans="1:14" x14ac:dyDescent="0.25">
      <c r="A41">
        <v>80</v>
      </c>
      <c r="B41">
        <v>0.85993485342019549</v>
      </c>
      <c r="C41">
        <v>0.90445168295331158</v>
      </c>
      <c r="D41">
        <v>0.95222584147665579</v>
      </c>
      <c r="E41">
        <v>0.98262757871878392</v>
      </c>
      <c r="F41">
        <v>0.998914223669924</v>
      </c>
      <c r="G41">
        <v>1.004343105320304</v>
      </c>
      <c r="H41">
        <v>1.002171552660152</v>
      </c>
      <c r="I41">
        <v>0.99565689467969598</v>
      </c>
      <c r="J41">
        <v>0.98588490770901194</v>
      </c>
      <c r="K41">
        <v>0.96634093376764385</v>
      </c>
      <c r="L41">
        <v>0.93702497285559172</v>
      </c>
      <c r="M41">
        <v>0.89359391965255153</v>
      </c>
      <c r="N41">
        <v>0.85993485342019549</v>
      </c>
    </row>
    <row r="42" spans="1:14" x14ac:dyDescent="0.25">
      <c r="A42">
        <v>85</v>
      </c>
      <c r="B42">
        <v>0.8458197611292072</v>
      </c>
      <c r="C42">
        <v>0.89467969598262753</v>
      </c>
      <c r="D42">
        <v>0.94571118349619976</v>
      </c>
      <c r="E42">
        <v>0.97937024972855591</v>
      </c>
      <c r="F42">
        <v>0.99565689467969598</v>
      </c>
      <c r="G42">
        <v>1.001085776330076</v>
      </c>
      <c r="H42">
        <v>0.998914223669924</v>
      </c>
      <c r="I42">
        <v>0.99239956568946797</v>
      </c>
      <c r="J42">
        <v>0.98154180238870792</v>
      </c>
      <c r="K42">
        <v>0.96091205211726383</v>
      </c>
      <c r="L42">
        <v>0.92942453854505969</v>
      </c>
      <c r="M42">
        <v>0.88273615635179148</v>
      </c>
      <c r="N42">
        <v>0.8458197611292072</v>
      </c>
    </row>
    <row r="43" spans="1:14" x14ac:dyDescent="0.25">
      <c r="A43">
        <v>90</v>
      </c>
      <c r="B43">
        <v>0.83170466883821925</v>
      </c>
      <c r="C43">
        <v>0.88165038002171559</v>
      </c>
      <c r="D43">
        <v>0.93811074918566772</v>
      </c>
      <c r="E43">
        <v>0.97502714440825189</v>
      </c>
      <c r="F43">
        <v>0.99348534201954397</v>
      </c>
      <c r="G43">
        <v>0.99674267100977199</v>
      </c>
      <c r="H43">
        <v>0.99239956568946797</v>
      </c>
      <c r="I43">
        <v>0.98697068403908794</v>
      </c>
      <c r="J43">
        <v>0.9771986970684039</v>
      </c>
      <c r="K43">
        <v>0.95656894679695981</v>
      </c>
      <c r="L43">
        <v>0.92073832790445165</v>
      </c>
      <c r="M43">
        <v>0.86970684039087953</v>
      </c>
      <c r="N43">
        <v>0.83170466883821925</v>
      </c>
    </row>
    <row r="45" spans="1:14" x14ac:dyDescent="0.25">
      <c r="A45" s="90" t="s">
        <v>5</v>
      </c>
    </row>
    <row r="46" spans="1:14" x14ac:dyDescent="0.25">
      <c r="A46">
        <v>-999</v>
      </c>
      <c r="B46">
        <v>-180</v>
      </c>
      <c r="C46">
        <v>-150</v>
      </c>
      <c r="D46">
        <v>-120</v>
      </c>
      <c r="E46">
        <v>-90</v>
      </c>
      <c r="F46">
        <v>-60</v>
      </c>
      <c r="G46">
        <v>-30</v>
      </c>
      <c r="H46">
        <v>0</v>
      </c>
      <c r="I46">
        <v>30</v>
      </c>
      <c r="J46">
        <v>60</v>
      </c>
      <c r="K46">
        <v>90</v>
      </c>
      <c r="L46">
        <v>120</v>
      </c>
      <c r="M46">
        <v>150</v>
      </c>
      <c r="N46">
        <v>180</v>
      </c>
    </row>
    <row r="47" spans="1:14" x14ac:dyDescent="0.25">
      <c r="A47">
        <v>0</v>
      </c>
      <c r="B47">
        <v>0.9831045406546991</v>
      </c>
      <c r="C47">
        <v>0.9831045406546991</v>
      </c>
      <c r="D47">
        <v>0.9831045406546991</v>
      </c>
      <c r="E47">
        <v>0.9831045406546991</v>
      </c>
      <c r="F47">
        <v>0.9831045406546991</v>
      </c>
      <c r="G47">
        <v>0.9831045406546991</v>
      </c>
      <c r="H47">
        <v>0.9831045406546991</v>
      </c>
      <c r="I47">
        <v>0.9831045406546991</v>
      </c>
      <c r="J47">
        <v>0.9831045406546991</v>
      </c>
      <c r="K47">
        <v>0.9831045406546991</v>
      </c>
      <c r="L47">
        <v>0.9831045406546991</v>
      </c>
      <c r="M47">
        <v>0.9831045406546991</v>
      </c>
      <c r="N47">
        <v>0.9831045406546991</v>
      </c>
    </row>
    <row r="48" spans="1:14" x14ac:dyDescent="0.25">
      <c r="A48">
        <v>5</v>
      </c>
      <c r="B48">
        <v>0.97782470960929246</v>
      </c>
      <c r="C48">
        <v>0.9788806758183739</v>
      </c>
      <c r="D48">
        <v>0.98099260823653656</v>
      </c>
      <c r="E48">
        <v>0.98416050686378032</v>
      </c>
      <c r="F48">
        <v>0.98732840549102441</v>
      </c>
      <c r="G48">
        <v>0.98838437170010562</v>
      </c>
      <c r="H48">
        <v>0.98838437170010562</v>
      </c>
      <c r="I48">
        <v>0.98732840549102441</v>
      </c>
      <c r="J48">
        <v>0.98627243928194297</v>
      </c>
      <c r="K48">
        <v>0.9831045406546991</v>
      </c>
      <c r="L48">
        <v>0.97993664202745512</v>
      </c>
      <c r="M48">
        <v>0.97782470960929246</v>
      </c>
      <c r="N48">
        <v>0.97782470960929246</v>
      </c>
    </row>
    <row r="49" spans="1:14" x14ac:dyDescent="0.25">
      <c r="A49">
        <v>10</v>
      </c>
      <c r="B49">
        <v>0.97148891235480472</v>
      </c>
      <c r="C49">
        <v>0.97360084477296738</v>
      </c>
      <c r="D49">
        <v>0.97993664202745512</v>
      </c>
      <c r="E49">
        <v>0.98521647307286175</v>
      </c>
      <c r="F49">
        <v>0.99049630411826817</v>
      </c>
      <c r="G49">
        <v>0.99260823653643082</v>
      </c>
      <c r="H49">
        <v>0.99366420274551215</v>
      </c>
      <c r="I49">
        <v>0.99155227032734961</v>
      </c>
      <c r="J49">
        <v>0.98838437170010562</v>
      </c>
      <c r="K49">
        <v>0.98416050686378032</v>
      </c>
      <c r="L49">
        <v>0.97782470960929246</v>
      </c>
      <c r="M49">
        <v>0.97360084477296738</v>
      </c>
      <c r="N49">
        <v>0.97148891235480472</v>
      </c>
    </row>
    <row r="50" spans="1:14" x14ac:dyDescent="0.25">
      <c r="A50">
        <v>15</v>
      </c>
      <c r="B50">
        <v>0.9662090813093982</v>
      </c>
      <c r="C50">
        <v>0.96937697993664207</v>
      </c>
      <c r="D50">
        <v>0.97782470960929246</v>
      </c>
      <c r="E50">
        <v>0.98732840549102441</v>
      </c>
      <c r="F50">
        <v>0.99366420274551215</v>
      </c>
      <c r="G50">
        <v>0.99683210137275602</v>
      </c>
      <c r="H50">
        <v>0.99683210137275602</v>
      </c>
      <c r="I50">
        <v>0.99472016895459348</v>
      </c>
      <c r="J50">
        <v>0.99155227032734961</v>
      </c>
      <c r="K50">
        <v>0.98416050686378032</v>
      </c>
      <c r="L50">
        <v>0.97571277719113003</v>
      </c>
      <c r="M50">
        <v>0.96832101372756085</v>
      </c>
      <c r="N50">
        <v>0.9662090813093982</v>
      </c>
    </row>
    <row r="51" spans="1:14" x14ac:dyDescent="0.25">
      <c r="A51">
        <v>20</v>
      </c>
      <c r="B51">
        <v>0.95987328405491035</v>
      </c>
      <c r="C51">
        <v>0.96515311510031687</v>
      </c>
      <c r="D51">
        <v>0.97676874340021125</v>
      </c>
      <c r="E51">
        <v>0.98838437170010562</v>
      </c>
      <c r="F51">
        <v>0.9957761351636748</v>
      </c>
      <c r="G51">
        <v>0.99894403379091867</v>
      </c>
      <c r="H51">
        <v>1</v>
      </c>
      <c r="I51">
        <v>0.99788806758183735</v>
      </c>
      <c r="J51">
        <v>0.99260823653643082</v>
      </c>
      <c r="K51">
        <v>0.98521647307286175</v>
      </c>
      <c r="L51">
        <v>0.9746568109820487</v>
      </c>
      <c r="M51">
        <v>0.96409714889123554</v>
      </c>
      <c r="N51">
        <v>0.95987328405491035</v>
      </c>
    </row>
    <row r="52" spans="1:14" x14ac:dyDescent="0.25">
      <c r="A52">
        <v>25</v>
      </c>
      <c r="B52">
        <v>0.9535374868004225</v>
      </c>
      <c r="C52">
        <v>0.96092925026399167</v>
      </c>
      <c r="D52">
        <v>0.97676874340021125</v>
      </c>
      <c r="E52">
        <v>0.98944033790918706</v>
      </c>
      <c r="F52">
        <v>0.99788806758183735</v>
      </c>
      <c r="G52">
        <v>1.0021119324181627</v>
      </c>
      <c r="H52">
        <v>1.0021119324181627</v>
      </c>
      <c r="I52">
        <v>1</v>
      </c>
      <c r="J52">
        <v>0.99472016895459348</v>
      </c>
      <c r="K52">
        <v>0.98627243928194297</v>
      </c>
      <c r="L52">
        <v>0.97360084477296738</v>
      </c>
      <c r="M52">
        <v>0.95881731784582902</v>
      </c>
      <c r="N52">
        <v>0.9535374868004225</v>
      </c>
    </row>
    <row r="53" spans="1:14" x14ac:dyDescent="0.25">
      <c r="A53">
        <v>30</v>
      </c>
      <c r="B53">
        <v>0.94614572333685332</v>
      </c>
      <c r="C53">
        <v>0.95670538542766637</v>
      </c>
      <c r="D53">
        <v>0.97676874340021125</v>
      </c>
      <c r="E53">
        <v>0.99049630411826817</v>
      </c>
      <c r="F53">
        <v>1</v>
      </c>
      <c r="G53">
        <v>1.0031678986272439</v>
      </c>
      <c r="H53">
        <v>1.0042238648363253</v>
      </c>
      <c r="I53">
        <v>1.0010559662090812</v>
      </c>
      <c r="J53">
        <v>0.9957761351636748</v>
      </c>
      <c r="K53">
        <v>0.98732840549102441</v>
      </c>
      <c r="L53">
        <v>0.97360084477296738</v>
      </c>
      <c r="M53">
        <v>0.95459345300950382</v>
      </c>
      <c r="N53">
        <v>0.94614572333685332</v>
      </c>
    </row>
    <row r="54" spans="1:14" x14ac:dyDescent="0.25">
      <c r="A54">
        <v>35</v>
      </c>
      <c r="B54">
        <v>0.93875395987328414</v>
      </c>
      <c r="C54">
        <v>0.95248152059134117</v>
      </c>
      <c r="D54">
        <v>0.97571277719113003</v>
      </c>
      <c r="E54">
        <v>0.99155227032734961</v>
      </c>
      <c r="F54">
        <v>1.0010559662090812</v>
      </c>
      <c r="G54">
        <v>1.0052798310454065</v>
      </c>
      <c r="H54">
        <v>1.0052798310454065</v>
      </c>
      <c r="I54">
        <v>1.0031678986272439</v>
      </c>
      <c r="J54">
        <v>0.99683210137275602</v>
      </c>
      <c r="K54">
        <v>0.98732840549102441</v>
      </c>
      <c r="L54">
        <v>0.97254487856388605</v>
      </c>
      <c r="M54">
        <v>0.95036958817317851</v>
      </c>
      <c r="N54">
        <v>0.93875395987328414</v>
      </c>
    </row>
    <row r="55" spans="1:14" x14ac:dyDescent="0.25">
      <c r="A55">
        <v>40</v>
      </c>
      <c r="B55">
        <v>0.93030623020063363</v>
      </c>
      <c r="C55">
        <v>0.94931362196409719</v>
      </c>
      <c r="D55">
        <v>0.97571277719113003</v>
      </c>
      <c r="E55">
        <v>0.99155227032734961</v>
      </c>
      <c r="F55">
        <v>1.0010559662090812</v>
      </c>
      <c r="G55">
        <v>1.0052798310454065</v>
      </c>
      <c r="H55">
        <v>1.006335797254488</v>
      </c>
      <c r="I55">
        <v>1.0031678986272439</v>
      </c>
      <c r="J55">
        <v>0.99788806758183735</v>
      </c>
      <c r="K55">
        <v>0.98732840549102441</v>
      </c>
      <c r="L55">
        <v>0.97148891235480472</v>
      </c>
      <c r="M55">
        <v>0.94720168954593464</v>
      </c>
      <c r="N55">
        <v>0.93030623020063363</v>
      </c>
    </row>
    <row r="56" spans="1:14" x14ac:dyDescent="0.25">
      <c r="A56">
        <v>45</v>
      </c>
      <c r="B56">
        <v>0.92397043294614578</v>
      </c>
      <c r="C56">
        <v>0.94825765575501586</v>
      </c>
      <c r="D56">
        <v>0.9746568109820487</v>
      </c>
      <c r="E56">
        <v>0.99155227032734961</v>
      </c>
      <c r="F56">
        <v>1.0021119324181627</v>
      </c>
      <c r="G56">
        <v>1.006335797254488</v>
      </c>
      <c r="H56">
        <v>1.0073917634635692</v>
      </c>
      <c r="I56">
        <v>1.0042238648363253</v>
      </c>
      <c r="J56">
        <v>0.99788806758183735</v>
      </c>
      <c r="K56">
        <v>0.98627243928194297</v>
      </c>
      <c r="L56">
        <v>0.9704329461457234</v>
      </c>
      <c r="M56">
        <v>0.94508975712777199</v>
      </c>
      <c r="N56">
        <v>0.92397043294614578</v>
      </c>
    </row>
    <row r="57" spans="1:14" x14ac:dyDescent="0.25">
      <c r="A57">
        <v>50</v>
      </c>
      <c r="B57">
        <v>0.91763463569165793</v>
      </c>
      <c r="C57">
        <v>0.94614572333685332</v>
      </c>
      <c r="D57">
        <v>0.97254487856388605</v>
      </c>
      <c r="E57">
        <v>0.99049630411826817</v>
      </c>
      <c r="F57">
        <v>1.0021119324181627</v>
      </c>
      <c r="G57">
        <v>1.0073917634635692</v>
      </c>
      <c r="H57">
        <v>1.0073917634635692</v>
      </c>
      <c r="I57">
        <v>1.0042238648363253</v>
      </c>
      <c r="J57">
        <v>0.99788806758183735</v>
      </c>
      <c r="K57">
        <v>0.98521647307286175</v>
      </c>
      <c r="L57">
        <v>0.96832101372756085</v>
      </c>
      <c r="M57">
        <v>0.94297782470960934</v>
      </c>
      <c r="N57">
        <v>0.91763463569165793</v>
      </c>
    </row>
    <row r="58" spans="1:14" x14ac:dyDescent="0.25">
      <c r="A58">
        <v>55</v>
      </c>
      <c r="B58">
        <v>0.91446673706441395</v>
      </c>
      <c r="C58">
        <v>0.94297782470960934</v>
      </c>
      <c r="D58">
        <v>0.9704329461457234</v>
      </c>
      <c r="E58">
        <v>0.98944033790918706</v>
      </c>
      <c r="F58">
        <v>1.0010559662090812</v>
      </c>
      <c r="G58">
        <v>1.0073917634635692</v>
      </c>
      <c r="H58">
        <v>1.0073917634635692</v>
      </c>
      <c r="I58">
        <v>1.0042238648363253</v>
      </c>
      <c r="J58">
        <v>0.99683210137275602</v>
      </c>
      <c r="K58">
        <v>0.98416050686378032</v>
      </c>
      <c r="L58">
        <v>0.9662090813093982</v>
      </c>
      <c r="M58">
        <v>0.93980992608236547</v>
      </c>
      <c r="N58">
        <v>0.91446673706441395</v>
      </c>
    </row>
    <row r="59" spans="1:14" x14ac:dyDescent="0.25">
      <c r="A59">
        <v>60</v>
      </c>
      <c r="B59">
        <v>0.91129883843717008</v>
      </c>
      <c r="C59">
        <v>0.93769799366420281</v>
      </c>
      <c r="D59">
        <v>0.96726504751847953</v>
      </c>
      <c r="E59">
        <v>0.98732840549102441</v>
      </c>
      <c r="F59">
        <v>1</v>
      </c>
      <c r="G59">
        <v>1.006335797254488</v>
      </c>
      <c r="H59">
        <v>1.006335797254488</v>
      </c>
      <c r="I59">
        <v>1.0042238648363253</v>
      </c>
      <c r="J59">
        <v>0.9957761351636748</v>
      </c>
      <c r="K59">
        <v>0.98204857444561777</v>
      </c>
      <c r="L59">
        <v>0.96198521647307289</v>
      </c>
      <c r="M59">
        <v>0.93453009503695883</v>
      </c>
      <c r="N59">
        <v>0.91129883843717008</v>
      </c>
    </row>
    <row r="60" spans="1:14" x14ac:dyDescent="0.25">
      <c r="A60">
        <v>65</v>
      </c>
      <c r="B60">
        <v>0.9039070749736009</v>
      </c>
      <c r="C60">
        <v>0.93136219640971496</v>
      </c>
      <c r="D60">
        <v>0.96304118268215422</v>
      </c>
      <c r="E60">
        <v>0.98521647307286175</v>
      </c>
      <c r="F60">
        <v>1</v>
      </c>
      <c r="G60">
        <v>1.0052798310454065</v>
      </c>
      <c r="H60">
        <v>1.006335797254488</v>
      </c>
      <c r="I60">
        <v>1.0031678986272439</v>
      </c>
      <c r="J60">
        <v>0.99366420274551215</v>
      </c>
      <c r="K60">
        <v>0.97993664202745512</v>
      </c>
      <c r="L60">
        <v>0.95776135163674769</v>
      </c>
      <c r="M60">
        <v>0.92819429778247098</v>
      </c>
      <c r="N60">
        <v>0.9039070749736009</v>
      </c>
    </row>
    <row r="61" spans="1:14" x14ac:dyDescent="0.25">
      <c r="A61">
        <v>70</v>
      </c>
      <c r="B61">
        <v>0.89440337909186907</v>
      </c>
      <c r="C61">
        <v>0.92397043294614578</v>
      </c>
      <c r="D61">
        <v>0.95881731784582902</v>
      </c>
      <c r="E61">
        <v>0.98204857444561777</v>
      </c>
      <c r="F61">
        <v>0.99788806758183735</v>
      </c>
      <c r="G61">
        <v>1.0042238648363253</v>
      </c>
      <c r="H61">
        <v>1.0052798310454065</v>
      </c>
      <c r="I61">
        <v>1.0010559662090812</v>
      </c>
      <c r="J61">
        <v>0.99260823653643082</v>
      </c>
      <c r="K61">
        <v>0.97676874340021125</v>
      </c>
      <c r="L61">
        <v>0.95248152059134117</v>
      </c>
      <c r="M61">
        <v>0.9208025343189018</v>
      </c>
      <c r="N61">
        <v>0.89440337909186907</v>
      </c>
    </row>
    <row r="62" spans="1:14" x14ac:dyDescent="0.25">
      <c r="A62">
        <v>75</v>
      </c>
      <c r="B62">
        <v>0.88489968321013723</v>
      </c>
      <c r="C62">
        <v>0.91552270327349528</v>
      </c>
      <c r="D62">
        <v>0.9535374868004225</v>
      </c>
      <c r="E62">
        <v>0.97993664202745512</v>
      </c>
      <c r="F62">
        <v>0.99472016895459348</v>
      </c>
      <c r="G62">
        <v>1.0021119324181627</v>
      </c>
      <c r="H62">
        <v>1.0031678986272439</v>
      </c>
      <c r="I62">
        <v>0.99894403379091867</v>
      </c>
      <c r="J62">
        <v>0.99049630411826817</v>
      </c>
      <c r="K62">
        <v>0.97254487856388605</v>
      </c>
      <c r="L62">
        <v>0.94720168954593464</v>
      </c>
      <c r="M62">
        <v>0.9123548046462514</v>
      </c>
      <c r="N62">
        <v>0.88489968321013723</v>
      </c>
    </row>
    <row r="63" spans="1:14" x14ac:dyDescent="0.25">
      <c r="A63">
        <v>80</v>
      </c>
      <c r="B63">
        <v>0.8743400211193243</v>
      </c>
      <c r="C63">
        <v>0.90601900739176344</v>
      </c>
      <c r="D63">
        <v>0.94614572333685332</v>
      </c>
      <c r="E63">
        <v>0.97571277719113003</v>
      </c>
      <c r="F63">
        <v>0.99260823653643082</v>
      </c>
      <c r="G63">
        <v>1</v>
      </c>
      <c r="H63">
        <v>1</v>
      </c>
      <c r="I63">
        <v>0.9957761351636748</v>
      </c>
      <c r="J63">
        <v>0.98627243928194297</v>
      </c>
      <c r="K63">
        <v>0.96832101372756085</v>
      </c>
      <c r="L63">
        <v>0.94086589229144668</v>
      </c>
      <c r="M63">
        <v>0.90179514255543824</v>
      </c>
      <c r="N63">
        <v>0.8743400211193243</v>
      </c>
    </row>
    <row r="64" spans="1:14" x14ac:dyDescent="0.25">
      <c r="A64">
        <v>85</v>
      </c>
      <c r="B64">
        <v>0.85955649419218583</v>
      </c>
      <c r="C64">
        <v>0.89440337909186907</v>
      </c>
      <c r="D64">
        <v>0.93875395987328414</v>
      </c>
      <c r="E64">
        <v>0.96937697993664207</v>
      </c>
      <c r="F64">
        <v>0.98944033790918706</v>
      </c>
      <c r="G64">
        <v>0.9957761351636748</v>
      </c>
      <c r="H64">
        <v>0.9957761351636748</v>
      </c>
      <c r="I64">
        <v>0.99260823653643082</v>
      </c>
      <c r="J64">
        <v>0.98204857444561777</v>
      </c>
      <c r="K64">
        <v>0.96409714889123554</v>
      </c>
      <c r="L64">
        <v>0.93241816261879629</v>
      </c>
      <c r="M64">
        <v>0.8912354804646252</v>
      </c>
      <c r="N64">
        <v>0.85955649419218583</v>
      </c>
    </row>
    <row r="65" spans="1:14" x14ac:dyDescent="0.25">
      <c r="A65">
        <v>90</v>
      </c>
      <c r="B65">
        <v>0.84582893347412891</v>
      </c>
      <c r="C65">
        <v>0.88173178458289336</v>
      </c>
      <c r="D65">
        <v>0.93030623020063363</v>
      </c>
      <c r="E65">
        <v>0.96409714889123554</v>
      </c>
      <c r="F65">
        <v>0.98416050686378032</v>
      </c>
      <c r="G65">
        <v>0.99155227032734961</v>
      </c>
      <c r="H65">
        <v>0.99049630411826817</v>
      </c>
      <c r="I65">
        <v>0.98732840549102441</v>
      </c>
      <c r="J65">
        <v>0.97782470960929246</v>
      </c>
      <c r="K65">
        <v>0.95564941921858504</v>
      </c>
      <c r="L65">
        <v>0.92397043294614578</v>
      </c>
      <c r="M65">
        <v>0.87856388595564938</v>
      </c>
      <c r="N65">
        <v>0.84582893347412891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 version</vt:lpstr>
      <vt:lpstr>CSER norm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AMILLO Ana (JRC-ISPRA)</dc:creator>
  <cp:lastModifiedBy>Nieves Espinosa (JRC-SEVILLA)</cp:lastModifiedBy>
  <cp:lastPrinted>2019-05-29T13:43:03Z</cp:lastPrinted>
  <dcterms:created xsi:type="dcterms:W3CDTF">2019-04-30T07:35:25Z</dcterms:created>
  <dcterms:modified xsi:type="dcterms:W3CDTF">2019-06-13T16:18:02Z</dcterms:modified>
</cp:coreProperties>
</file>