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omments4.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et1.cec.eu.int\jrc-services\SVQ-Users\donatsh\Desktop\Teleworking_4\Levels\2.2_stuff\"/>
    </mc:Choice>
  </mc:AlternateContent>
  <bookViews>
    <workbookView xWindow="0" yWindow="0" windowWidth="10875" windowHeight="5325" activeTab="2"/>
  </bookViews>
  <sheets>
    <sheet name="L1 LoW info" sheetId="2" r:id="rId1"/>
    <sheet name="L2 DW inventory-estimate" sheetId="8" r:id="rId2"/>
    <sheet name="L2 CW estimate" sheetId="9" r:id="rId3"/>
    <sheet name="L3 CDW measure" sheetId="10" r:id="rId4"/>
  </sheets>
  <definedNames>
    <definedName name="Core">'L2 CW estimate'!$U$44:$U$49</definedName>
    <definedName name="External_works">'L2 CW estimate'!$U$51:$U$52</definedName>
    <definedName name="Shell">'L2 CW estimate'!$U$37:$U$42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10" l="1"/>
  <c r="N32" i="10"/>
  <c r="N31" i="10"/>
  <c r="N30" i="10"/>
  <c r="N26" i="10"/>
  <c r="M21" i="10"/>
  <c r="M19" i="10"/>
  <c r="Y11" i="10"/>
  <c r="X11" i="10"/>
  <c r="Y10" i="10"/>
  <c r="X10" i="10"/>
  <c r="Y9" i="10"/>
  <c r="X9" i="10"/>
  <c r="W11" i="10"/>
  <c r="W10" i="10"/>
  <c r="W9" i="10"/>
  <c r="V11" i="10"/>
  <c r="V10" i="10"/>
  <c r="V9" i="10"/>
  <c r="U11" i="10"/>
  <c r="U10" i="10"/>
  <c r="U9" i="10"/>
  <c r="T11" i="10"/>
  <c r="T10" i="10"/>
  <c r="T9" i="10"/>
  <c r="S11" i="10"/>
  <c r="S10" i="10"/>
  <c r="S9" i="10"/>
  <c r="T8" i="10"/>
  <c r="S8" i="10"/>
  <c r="T7" i="10"/>
  <c r="S7" i="10"/>
  <c r="T6" i="10"/>
  <c r="S6" i="10"/>
  <c r="T5" i="10"/>
  <c r="S5" i="10"/>
  <c r="T4" i="10"/>
  <c r="S4" i="10"/>
  <c r="R11" i="10"/>
  <c r="R10" i="10"/>
  <c r="R9" i="10"/>
  <c r="R8" i="10"/>
  <c r="R7" i="10"/>
  <c r="R6" i="10"/>
  <c r="R5" i="10"/>
  <c r="R4" i="10"/>
  <c r="Q11" i="10"/>
  <c r="Q10" i="10"/>
  <c r="Q9" i="10"/>
  <c r="Q8" i="10"/>
  <c r="Q7" i="10"/>
  <c r="Q6" i="10"/>
  <c r="Q5" i="10"/>
  <c r="Q4" i="10"/>
  <c r="P11" i="10"/>
  <c r="P10" i="10"/>
  <c r="P9" i="10"/>
  <c r="Y8" i="10"/>
  <c r="Y6" i="10"/>
  <c r="Y5" i="10"/>
  <c r="Y4" i="10"/>
  <c r="X8" i="10"/>
  <c r="X7" i="10"/>
  <c r="X6" i="10"/>
  <c r="X5" i="10"/>
  <c r="X4" i="10"/>
  <c r="W8" i="10"/>
  <c r="W7" i="10"/>
  <c r="W6" i="10"/>
  <c r="W5" i="10"/>
  <c r="W4" i="10"/>
  <c r="V8" i="10"/>
  <c r="V7" i="10"/>
  <c r="V6" i="10"/>
  <c r="V5" i="10"/>
  <c r="V4" i="10"/>
  <c r="U8" i="10"/>
  <c r="U7" i="10"/>
  <c r="U6" i="10"/>
  <c r="U5" i="10"/>
  <c r="U4" i="10"/>
  <c r="P8" i="10"/>
  <c r="P7" i="10"/>
  <c r="P6" i="10"/>
  <c r="P5" i="10"/>
  <c r="P4" i="10"/>
  <c r="AB22" i="9"/>
  <c r="AI5" i="9"/>
  <c r="AH5" i="9"/>
  <c r="AG5" i="9"/>
  <c r="AF5" i="9"/>
  <c r="AE5" i="9"/>
  <c r="AD5" i="9"/>
  <c r="AC5" i="9"/>
  <c r="AB5" i="9"/>
  <c r="AA5" i="9"/>
  <c r="Z5" i="9"/>
  <c r="X19" i="9"/>
  <c r="W20" i="9"/>
  <c r="W19" i="9"/>
  <c r="V21" i="9"/>
  <c r="V20" i="9"/>
  <c r="V19" i="9"/>
  <c r="X30" i="9"/>
  <c r="W30" i="9"/>
  <c r="W29" i="9"/>
  <c r="W28" i="9"/>
  <c r="W27" i="9"/>
  <c r="AI11" i="9"/>
  <c r="AI10" i="9"/>
  <c r="AI9" i="9"/>
  <c r="AH11" i="9"/>
  <c r="AH10" i="9"/>
  <c r="AH9" i="9"/>
  <c r="AG11" i="9"/>
  <c r="AG10" i="9"/>
  <c r="AG9" i="9"/>
  <c r="AF11" i="9"/>
  <c r="AF10" i="9"/>
  <c r="AF9" i="9"/>
  <c r="AE11" i="9"/>
  <c r="AE10" i="9"/>
  <c r="AE9" i="9"/>
  <c r="AD11" i="9"/>
  <c r="AD10" i="9"/>
  <c r="AD9" i="9"/>
  <c r="AC11" i="9"/>
  <c r="AC10" i="9"/>
  <c r="AC9" i="9"/>
  <c r="AB11" i="9"/>
  <c r="AB10" i="9"/>
  <c r="AB9" i="9"/>
  <c r="AA11" i="9"/>
  <c r="AA10" i="9"/>
  <c r="AA9" i="9"/>
  <c r="Z11" i="9"/>
  <c r="Z10" i="9"/>
  <c r="W10" i="9" s="1"/>
  <c r="X10" i="9" s="1"/>
  <c r="Z9" i="9"/>
  <c r="AI8" i="9"/>
  <c r="AI7" i="9"/>
  <c r="AI6" i="9"/>
  <c r="AI4" i="9"/>
  <c r="AH8" i="9"/>
  <c r="AH7" i="9"/>
  <c r="AH6" i="9"/>
  <c r="AH4" i="9"/>
  <c r="AG8" i="9"/>
  <c r="AG7" i="9"/>
  <c r="AG6" i="9"/>
  <c r="AG4" i="9"/>
  <c r="AF8" i="9"/>
  <c r="AF7" i="9"/>
  <c r="AF6" i="9"/>
  <c r="AF4" i="9"/>
  <c r="AE8" i="9"/>
  <c r="AE7" i="9"/>
  <c r="AE6" i="9"/>
  <c r="AE4" i="9"/>
  <c r="AD8" i="9"/>
  <c r="AD7" i="9"/>
  <c r="AD6" i="9"/>
  <c r="AD4" i="9"/>
  <c r="AC8" i="9"/>
  <c r="AC7" i="9"/>
  <c r="AC6" i="9"/>
  <c r="AC4" i="9"/>
  <c r="AB8" i="9"/>
  <c r="AB7" i="9"/>
  <c r="AB6" i="9"/>
  <c r="AB4" i="9"/>
  <c r="AA8" i="9"/>
  <c r="AA7" i="9"/>
  <c r="AA6" i="9"/>
  <c r="AA4" i="9"/>
  <c r="Z8" i="9"/>
  <c r="Z7" i="9"/>
  <c r="W7" i="9" s="1"/>
  <c r="Z6" i="9"/>
  <c r="Z4" i="9"/>
  <c r="AN8" i="9"/>
  <c r="AL8" i="9"/>
  <c r="AP8" i="9" s="1"/>
  <c r="AN7" i="9"/>
  <c r="AL7" i="9"/>
  <c r="AN6" i="9"/>
  <c r="AL6" i="9"/>
  <c r="AN5" i="9"/>
  <c r="AL5" i="9"/>
  <c r="AP5" i="9" s="1"/>
  <c r="AN4" i="9"/>
  <c r="AL4" i="9"/>
  <c r="AP4" i="9" s="1"/>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75"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21" i="9"/>
  <c r="M222" i="9"/>
  <c r="M223" i="9"/>
  <c r="M224" i="9"/>
  <c r="M225" i="9"/>
  <c r="M226" i="9"/>
  <c r="M227" i="9"/>
  <c r="M228" i="9"/>
  <c r="M229" i="9"/>
  <c r="M230" i="9"/>
  <c r="M231" i="9"/>
  <c r="M232" i="9"/>
  <c r="M233" i="9"/>
  <c r="M234" i="9"/>
  <c r="M235" i="9"/>
  <c r="M236" i="9"/>
  <c r="M237" i="9"/>
  <c r="M238" i="9"/>
  <c r="M239" i="9"/>
  <c r="M240" i="9"/>
  <c r="M241" i="9"/>
  <c r="M242" i="9"/>
  <c r="M243" i="9"/>
  <c r="M244" i="9"/>
  <c r="M245" i="9"/>
  <c r="M246" i="9"/>
  <c r="M247" i="9"/>
  <c r="M248" i="9"/>
  <c r="M249" i="9"/>
  <c r="M250" i="9"/>
  <c r="M251" i="9"/>
  <c r="M252" i="9"/>
  <c r="M253" i="9"/>
  <c r="M254" i="9"/>
  <c r="M255" i="9"/>
  <c r="M256" i="9"/>
  <c r="M257" i="9"/>
  <c r="M258" i="9"/>
  <c r="M259" i="9"/>
  <c r="M260" i="9"/>
  <c r="M261" i="9"/>
  <c r="M262" i="9"/>
  <c r="M263" i="9"/>
  <c r="M264" i="9"/>
  <c r="M265" i="9"/>
  <c r="M266" i="9"/>
  <c r="M267" i="9"/>
  <c r="M268" i="9"/>
  <c r="M269" i="9"/>
  <c r="M270" i="9"/>
  <c r="M271" i="9"/>
  <c r="M272" i="9"/>
  <c r="M273" i="9"/>
  <c r="M274" i="9"/>
  <c r="M275" i="9"/>
  <c r="M276" i="9"/>
  <c r="M277" i="9"/>
  <c r="M278" i="9"/>
  <c r="M279" i="9"/>
  <c r="M280" i="9"/>
  <c r="M281" i="9"/>
  <c r="M282" i="9"/>
  <c r="M283" i="9"/>
  <c r="M284" i="9"/>
  <c r="M285" i="9"/>
  <c r="M286" i="9"/>
  <c r="M287" i="9"/>
  <c r="M288" i="9"/>
  <c r="M289" i="9"/>
  <c r="M290" i="9"/>
  <c r="M291" i="9"/>
  <c r="M292" i="9"/>
  <c r="M293" i="9"/>
  <c r="M294" i="9"/>
  <c r="M295" i="9"/>
  <c r="M296" i="9"/>
  <c r="M297" i="9"/>
  <c r="M298" i="9"/>
  <c r="M299" i="9"/>
  <c r="M300" i="9"/>
  <c r="M301" i="9"/>
  <c r="M302" i="9"/>
  <c r="M303" i="9"/>
  <c r="M304" i="9"/>
  <c r="M305" i="9"/>
  <c r="M306" i="9"/>
  <c r="M307" i="9"/>
  <c r="M308" i="9"/>
  <c r="M309" i="9"/>
  <c r="M310" i="9"/>
  <c r="M311" i="9"/>
  <c r="M312" i="9"/>
  <c r="M313" i="9"/>
  <c r="M314" i="9"/>
  <c r="M315" i="9"/>
  <c r="M316" i="9"/>
  <c r="M317" i="9"/>
  <c r="M318" i="9"/>
  <c r="M319" i="9"/>
  <c r="M320" i="9"/>
  <c r="M321" i="9"/>
  <c r="M322" i="9"/>
  <c r="M323" i="9"/>
  <c r="M324" i="9"/>
  <c r="M325" i="9"/>
  <c r="M326" i="9"/>
  <c r="M327" i="9"/>
  <c r="M328" i="9"/>
  <c r="M329" i="9"/>
  <c r="M330" i="9"/>
  <c r="M331" i="9"/>
  <c r="M332" i="9"/>
  <c r="M333" i="9"/>
  <c r="M334" i="9"/>
  <c r="M335" i="9"/>
  <c r="M336" i="9"/>
  <c r="M337" i="9"/>
  <c r="M338" i="9"/>
  <c r="M339" i="9"/>
  <c r="M340" i="9"/>
  <c r="M341" i="9"/>
  <c r="M342" i="9"/>
  <c r="M343" i="9"/>
  <c r="M344" i="9"/>
  <c r="M345" i="9"/>
  <c r="M346" i="9"/>
  <c r="M347" i="9"/>
  <c r="M348" i="9"/>
  <c r="M349" i="9"/>
  <c r="M350" i="9"/>
  <c r="M351" i="9"/>
  <c r="M352" i="9"/>
  <c r="M353" i="9"/>
  <c r="M354" i="9"/>
  <c r="M355" i="9"/>
  <c r="M356" i="9"/>
  <c r="M357" i="9"/>
  <c r="M358" i="9"/>
  <c r="M359" i="9"/>
  <c r="M360" i="9"/>
  <c r="M361" i="9"/>
  <c r="M362" i="9"/>
  <c r="M363" i="9"/>
  <c r="M364" i="9"/>
  <c r="M365" i="9"/>
  <c r="M366" i="9"/>
  <c r="M367" i="9"/>
  <c r="M368" i="9"/>
  <c r="M369" i="9"/>
  <c r="M370" i="9"/>
  <c r="M371" i="9"/>
  <c r="M372" i="9"/>
  <c r="M373" i="9"/>
  <c r="M374" i="9"/>
  <c r="M375" i="9"/>
  <c r="M376" i="9"/>
  <c r="M377" i="9"/>
  <c r="M378" i="9"/>
  <c r="M379" i="9"/>
  <c r="M380" i="9"/>
  <c r="M381" i="9"/>
  <c r="M382" i="9"/>
  <c r="M383" i="9"/>
  <c r="M384" i="9"/>
  <c r="M385" i="9"/>
  <c r="M386" i="9"/>
  <c r="M387" i="9"/>
  <c r="M388" i="9"/>
  <c r="M389" i="9"/>
  <c r="M390" i="9"/>
  <c r="M391" i="9"/>
  <c r="M392" i="9"/>
  <c r="M393" i="9"/>
  <c r="M394" i="9"/>
  <c r="M395" i="9"/>
  <c r="M396" i="9"/>
  <c r="M397" i="9"/>
  <c r="M398" i="9"/>
  <c r="M399" i="9"/>
  <c r="M400" i="9"/>
  <c r="M401" i="9"/>
  <c r="M402" i="9"/>
  <c r="M403" i="9"/>
  <c r="M404" i="9"/>
  <c r="M405" i="9"/>
  <c r="M406" i="9"/>
  <c r="M407" i="9"/>
  <c r="M408" i="9"/>
  <c r="M409" i="9"/>
  <c r="M410" i="9"/>
  <c r="M411" i="9"/>
  <c r="M412" i="9"/>
  <c r="M413" i="9"/>
  <c r="M414" i="9"/>
  <c r="M415" i="9"/>
  <c r="M416" i="9"/>
  <c r="M417" i="9"/>
  <c r="M418" i="9"/>
  <c r="M419" i="9"/>
  <c r="M420" i="9"/>
  <c r="M421" i="9"/>
  <c r="M422" i="9"/>
  <c r="M423" i="9"/>
  <c r="M424" i="9"/>
  <c r="M425" i="9"/>
  <c r="M426" i="9"/>
  <c r="M427" i="9"/>
  <c r="M428" i="9"/>
  <c r="M429" i="9"/>
  <c r="M430" i="9"/>
  <c r="M431" i="9"/>
  <c r="M432" i="9"/>
  <c r="M433" i="9"/>
  <c r="M434" i="9"/>
  <c r="M435" i="9"/>
  <c r="M436" i="9"/>
  <c r="M437" i="9"/>
  <c r="M438" i="9"/>
  <c r="M439" i="9"/>
  <c r="M440" i="9"/>
  <c r="M441" i="9"/>
  <c r="M442" i="9"/>
  <c r="M443" i="9"/>
  <c r="M444" i="9"/>
  <c r="M445" i="9"/>
  <c r="M446" i="9"/>
  <c r="M447" i="9"/>
  <c r="M448" i="9"/>
  <c r="M449" i="9"/>
  <c r="M450" i="9"/>
  <c r="M451" i="9"/>
  <c r="M452" i="9"/>
  <c r="M453" i="9"/>
  <c r="M454" i="9"/>
  <c r="M455" i="9"/>
  <c r="M456" i="9"/>
  <c r="M457" i="9"/>
  <c r="M458" i="9"/>
  <c r="M459" i="9"/>
  <c r="M460" i="9"/>
  <c r="M461" i="9"/>
  <c r="M462" i="9"/>
  <c r="M463" i="9"/>
  <c r="M464" i="9"/>
  <c r="M465" i="9"/>
  <c r="M466" i="9"/>
  <c r="M467" i="9"/>
  <c r="M468" i="9"/>
  <c r="M469" i="9"/>
  <c r="M470" i="9"/>
  <c r="M471" i="9"/>
  <c r="M472" i="9"/>
  <c r="M473" i="9"/>
  <c r="M474" i="9"/>
  <c r="M475" i="9"/>
  <c r="M476" i="9"/>
  <c r="M477" i="9"/>
  <c r="M478" i="9"/>
  <c r="M479" i="9"/>
  <c r="M480" i="9"/>
  <c r="M481" i="9"/>
  <c r="M482" i="9"/>
  <c r="M483" i="9"/>
  <c r="M484" i="9"/>
  <c r="M485" i="9"/>
  <c r="M486" i="9"/>
  <c r="M487" i="9"/>
  <c r="M488" i="9"/>
  <c r="M489" i="9"/>
  <c r="M490" i="9"/>
  <c r="M491" i="9"/>
  <c r="M492" i="9"/>
  <c r="M493" i="9"/>
  <c r="M494" i="9"/>
  <c r="M495" i="9"/>
  <c r="M496" i="9"/>
  <c r="M497" i="9"/>
  <c r="M498" i="9"/>
  <c r="M499" i="9"/>
  <c r="M500" i="9"/>
  <c r="M501" i="9"/>
  <c r="M502" i="9"/>
  <c r="M503" i="9"/>
  <c r="M504" i="9"/>
  <c r="M505" i="9"/>
  <c r="M506" i="9"/>
  <c r="M507" i="9"/>
  <c r="M508" i="9"/>
  <c r="M509" i="9"/>
  <c r="M510" i="9"/>
  <c r="M511" i="9"/>
  <c r="M512" i="9"/>
  <c r="M513" i="9"/>
  <c r="M514" i="9"/>
  <c r="M515" i="9"/>
  <c r="M516" i="9"/>
  <c r="M517" i="9"/>
  <c r="M518" i="9"/>
  <c r="M519" i="9"/>
  <c r="M520" i="9"/>
  <c r="M521" i="9"/>
  <c r="M522" i="9"/>
  <c r="M523" i="9"/>
  <c r="M524" i="9"/>
  <c r="M525" i="9"/>
  <c r="M526" i="9"/>
  <c r="M527" i="9"/>
  <c r="M528" i="9"/>
  <c r="M529" i="9"/>
  <c r="M530" i="9"/>
  <c r="M531" i="9"/>
  <c r="M532" i="9"/>
  <c r="M533" i="9"/>
  <c r="M534" i="9"/>
  <c r="M535" i="9"/>
  <c r="M536" i="9"/>
  <c r="M537" i="9"/>
  <c r="M538" i="9"/>
  <c r="M539" i="9"/>
  <c r="M540" i="9"/>
  <c r="M541" i="9"/>
  <c r="M542" i="9"/>
  <c r="M543" i="9"/>
  <c r="M5" i="9"/>
  <c r="M4"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346" i="9"/>
  <c r="J347" i="9"/>
  <c r="J348" i="9"/>
  <c r="J349" i="9"/>
  <c r="J350" i="9"/>
  <c r="J351" i="9"/>
  <c r="J352" i="9"/>
  <c r="J353" i="9"/>
  <c r="J354" i="9"/>
  <c r="J355" i="9"/>
  <c r="J356" i="9"/>
  <c r="J357" i="9"/>
  <c r="J358" i="9"/>
  <c r="J359" i="9"/>
  <c r="J360" i="9"/>
  <c r="J361" i="9"/>
  <c r="J362" i="9"/>
  <c r="J363" i="9"/>
  <c r="J364" i="9"/>
  <c r="J365" i="9"/>
  <c r="J366" i="9"/>
  <c r="J367" i="9"/>
  <c r="J368" i="9"/>
  <c r="J369" i="9"/>
  <c r="J370" i="9"/>
  <c r="J371" i="9"/>
  <c r="J372" i="9"/>
  <c r="J373" i="9"/>
  <c r="J374" i="9"/>
  <c r="J375" i="9"/>
  <c r="J376" i="9"/>
  <c r="J377" i="9"/>
  <c r="J378" i="9"/>
  <c r="J379" i="9"/>
  <c r="J380" i="9"/>
  <c r="J381" i="9"/>
  <c r="J382" i="9"/>
  <c r="J383" i="9"/>
  <c r="J384" i="9"/>
  <c r="J385" i="9"/>
  <c r="J386" i="9"/>
  <c r="J387" i="9"/>
  <c r="J388" i="9"/>
  <c r="J389" i="9"/>
  <c r="J390" i="9"/>
  <c r="J391" i="9"/>
  <c r="J392" i="9"/>
  <c r="J393" i="9"/>
  <c r="J394" i="9"/>
  <c r="J395" i="9"/>
  <c r="J396" i="9"/>
  <c r="J397" i="9"/>
  <c r="J398" i="9"/>
  <c r="J399" i="9"/>
  <c r="J400" i="9"/>
  <c r="J401" i="9"/>
  <c r="J402" i="9"/>
  <c r="J403" i="9"/>
  <c r="J404" i="9"/>
  <c r="J405" i="9"/>
  <c r="J406" i="9"/>
  <c r="J407" i="9"/>
  <c r="J408" i="9"/>
  <c r="J409" i="9"/>
  <c r="J410" i="9"/>
  <c r="J411" i="9"/>
  <c r="J412" i="9"/>
  <c r="J413" i="9"/>
  <c r="J414" i="9"/>
  <c r="J415" i="9"/>
  <c r="J416" i="9"/>
  <c r="J417" i="9"/>
  <c r="J418" i="9"/>
  <c r="J419" i="9"/>
  <c r="J420" i="9"/>
  <c r="J421" i="9"/>
  <c r="J422" i="9"/>
  <c r="J423" i="9"/>
  <c r="J424" i="9"/>
  <c r="J425" i="9"/>
  <c r="J426" i="9"/>
  <c r="J427" i="9"/>
  <c r="J428" i="9"/>
  <c r="J429" i="9"/>
  <c r="J430" i="9"/>
  <c r="J431" i="9"/>
  <c r="J432" i="9"/>
  <c r="J433" i="9"/>
  <c r="J434" i="9"/>
  <c r="J435" i="9"/>
  <c r="J436" i="9"/>
  <c r="J437" i="9"/>
  <c r="J438" i="9"/>
  <c r="J439" i="9"/>
  <c r="J440" i="9"/>
  <c r="J441" i="9"/>
  <c r="J442" i="9"/>
  <c r="J443" i="9"/>
  <c r="J444" i="9"/>
  <c r="J445" i="9"/>
  <c r="J446" i="9"/>
  <c r="J447" i="9"/>
  <c r="J448" i="9"/>
  <c r="J449" i="9"/>
  <c r="J450" i="9"/>
  <c r="J451" i="9"/>
  <c r="J452" i="9"/>
  <c r="J453" i="9"/>
  <c r="J454" i="9"/>
  <c r="J455" i="9"/>
  <c r="J456" i="9"/>
  <c r="J457" i="9"/>
  <c r="J458" i="9"/>
  <c r="J459" i="9"/>
  <c r="J460" i="9"/>
  <c r="J461" i="9"/>
  <c r="J462" i="9"/>
  <c r="J463" i="9"/>
  <c r="J464" i="9"/>
  <c r="J465" i="9"/>
  <c r="J466" i="9"/>
  <c r="J467" i="9"/>
  <c r="J468" i="9"/>
  <c r="J469" i="9"/>
  <c r="J470" i="9"/>
  <c r="J471" i="9"/>
  <c r="J472" i="9"/>
  <c r="J473" i="9"/>
  <c r="J474" i="9"/>
  <c r="J475" i="9"/>
  <c r="J476" i="9"/>
  <c r="J477" i="9"/>
  <c r="J478" i="9"/>
  <c r="J479" i="9"/>
  <c r="J480" i="9"/>
  <c r="J481" i="9"/>
  <c r="J482" i="9"/>
  <c r="J483" i="9"/>
  <c r="J484" i="9"/>
  <c r="J485" i="9"/>
  <c r="J486" i="9"/>
  <c r="J487" i="9"/>
  <c r="J488" i="9"/>
  <c r="J489" i="9"/>
  <c r="J490" i="9"/>
  <c r="J491" i="9"/>
  <c r="J492" i="9"/>
  <c r="J493" i="9"/>
  <c r="J494" i="9"/>
  <c r="J495" i="9"/>
  <c r="J496" i="9"/>
  <c r="J497" i="9"/>
  <c r="J498" i="9"/>
  <c r="J499" i="9"/>
  <c r="J500" i="9"/>
  <c r="J501" i="9"/>
  <c r="J502" i="9"/>
  <c r="J503" i="9"/>
  <c r="J504" i="9"/>
  <c r="J505" i="9"/>
  <c r="J506" i="9"/>
  <c r="J507" i="9"/>
  <c r="J508" i="9"/>
  <c r="J509" i="9"/>
  <c r="J510" i="9"/>
  <c r="J511" i="9"/>
  <c r="J512" i="9"/>
  <c r="J513" i="9"/>
  <c r="J514" i="9"/>
  <c r="J515" i="9"/>
  <c r="J516" i="9"/>
  <c r="J517" i="9"/>
  <c r="J518" i="9"/>
  <c r="J519" i="9"/>
  <c r="J520" i="9"/>
  <c r="J521" i="9"/>
  <c r="J522" i="9"/>
  <c r="J523" i="9"/>
  <c r="J524" i="9"/>
  <c r="J525" i="9"/>
  <c r="J526" i="9"/>
  <c r="J527" i="9"/>
  <c r="J528" i="9"/>
  <c r="J529" i="9"/>
  <c r="J530" i="9"/>
  <c r="J531" i="9"/>
  <c r="J532" i="9"/>
  <c r="J533" i="9"/>
  <c r="J534" i="9"/>
  <c r="J535" i="9"/>
  <c r="J536" i="9"/>
  <c r="J537" i="9"/>
  <c r="J538" i="9"/>
  <c r="J539" i="9"/>
  <c r="J540" i="9"/>
  <c r="J541" i="9"/>
  <c r="J542" i="9"/>
  <c r="J543" i="9"/>
  <c r="J5" i="9"/>
  <c r="J4" i="9"/>
  <c r="I4" i="9"/>
  <c r="AP7" i="9" l="1"/>
  <c r="T12" i="10"/>
  <c r="S12" i="10"/>
  <c r="N9" i="10"/>
  <c r="N10" i="10"/>
  <c r="R12" i="10"/>
  <c r="N11" i="10"/>
  <c r="AN9" i="9"/>
  <c r="AO9" i="9" s="1"/>
  <c r="AP6" i="9"/>
  <c r="AP9" i="9" s="1"/>
  <c r="AQ9" i="9" s="1"/>
  <c r="AH12" i="9"/>
  <c r="W11" i="9"/>
  <c r="X11" i="9" s="1"/>
  <c r="W9" i="9"/>
  <c r="X9" i="9" s="1"/>
  <c r="W4" i="9"/>
  <c r="W8" i="9"/>
  <c r="X8" i="9" s="1"/>
  <c r="W6" i="9"/>
  <c r="W5" i="9"/>
  <c r="AO4" i="9" l="1"/>
  <c r="AO8" i="9"/>
  <c r="AO6" i="9"/>
  <c r="AO5" i="9"/>
  <c r="AO7" i="9"/>
  <c r="AQ6" i="9"/>
  <c r="AQ5" i="9"/>
  <c r="AQ8" i="9"/>
  <c r="AQ4" i="9"/>
  <c r="AQ7" i="9"/>
  <c r="W12" i="9"/>
  <c r="AK11" i="9" s="1"/>
  <c r="H11" i="8" l="1"/>
  <c r="H10" i="8"/>
  <c r="AE4" i="8" s="1"/>
  <c r="X27" i="9"/>
  <c r="X28" i="9"/>
  <c r="X29" i="9"/>
  <c r="K14" i="9"/>
  <c r="F14" i="9"/>
  <c r="L110" i="9"/>
  <c r="L118" i="9"/>
  <c r="L126" i="9"/>
  <c r="L134" i="9"/>
  <c r="L142" i="9"/>
  <c r="L150" i="9"/>
  <c r="L158" i="9"/>
  <c r="L166" i="9"/>
  <c r="L174" i="9"/>
  <c r="L182" i="9"/>
  <c r="L190" i="9"/>
  <c r="L198" i="9"/>
  <c r="L206" i="9"/>
  <c r="L214" i="9"/>
  <c r="L222" i="9"/>
  <c r="L230" i="9"/>
  <c r="L238" i="9"/>
  <c r="L246" i="9"/>
  <c r="L254" i="9"/>
  <c r="L262" i="9"/>
  <c r="L270" i="9"/>
  <c r="L278" i="9"/>
  <c r="L286" i="9"/>
  <c r="L294" i="9"/>
  <c r="L302" i="9"/>
  <c r="L310" i="9"/>
  <c r="L318" i="9"/>
  <c r="L326" i="9"/>
  <c r="L334" i="9"/>
  <c r="L342" i="9"/>
  <c r="L350" i="9"/>
  <c r="L358" i="9"/>
  <c r="L366" i="9"/>
  <c r="L374" i="9"/>
  <c r="L382" i="9"/>
  <c r="L390" i="9"/>
  <c r="L398" i="9"/>
  <c r="L402" i="9"/>
  <c r="L406" i="9"/>
  <c r="L410" i="9"/>
  <c r="L414" i="9"/>
  <c r="L418" i="9"/>
  <c r="L422" i="9"/>
  <c r="L426" i="9"/>
  <c r="L430" i="9"/>
  <c r="L434" i="9"/>
  <c r="L438" i="9"/>
  <c r="L442" i="9"/>
  <c r="L446" i="9"/>
  <c r="L450" i="9"/>
  <c r="L451" i="9"/>
  <c r="L454" i="9"/>
  <c r="L458" i="9"/>
  <c r="L459" i="9"/>
  <c r="L462" i="9"/>
  <c r="L466" i="9"/>
  <c r="L467" i="9"/>
  <c r="L470" i="9"/>
  <c r="L474" i="9"/>
  <c r="L475" i="9"/>
  <c r="L478" i="9"/>
  <c r="L482" i="9"/>
  <c r="L483" i="9"/>
  <c r="L486" i="9"/>
  <c r="L490" i="9"/>
  <c r="L491" i="9"/>
  <c r="L494" i="9"/>
  <c r="L498" i="9"/>
  <c r="L499" i="9"/>
  <c r="L502" i="9"/>
  <c r="L506" i="9"/>
  <c r="L507" i="9"/>
  <c r="L510" i="9"/>
  <c r="L514" i="9"/>
  <c r="L515" i="9"/>
  <c r="L518" i="9"/>
  <c r="L522" i="9"/>
  <c r="L523" i="9"/>
  <c r="L526" i="9"/>
  <c r="L530" i="9"/>
  <c r="L531" i="9"/>
  <c r="L534" i="9"/>
  <c r="L538" i="9"/>
  <c r="L539" i="9"/>
  <c r="L542" i="9"/>
  <c r="K13" i="9"/>
  <c r="K12" i="9"/>
  <c r="K11" i="9"/>
  <c r="F11" i="9"/>
  <c r="F10" i="9"/>
  <c r="F9" i="9"/>
  <c r="F8" i="9"/>
  <c r="F7" i="9"/>
  <c r="F6" i="9"/>
  <c r="F5" i="9"/>
  <c r="I104" i="9"/>
  <c r="L104" i="9" s="1"/>
  <c r="I105" i="9"/>
  <c r="L105" i="9" s="1"/>
  <c r="I106" i="9"/>
  <c r="L106" i="9" s="1"/>
  <c r="I107" i="9"/>
  <c r="L107" i="9" s="1"/>
  <c r="I108" i="9"/>
  <c r="L108" i="9" s="1"/>
  <c r="I109" i="9"/>
  <c r="L109" i="9" s="1"/>
  <c r="I110" i="9"/>
  <c r="I111" i="9"/>
  <c r="L111" i="9" s="1"/>
  <c r="I112" i="9"/>
  <c r="L112" i="9" s="1"/>
  <c r="I113" i="9"/>
  <c r="L113" i="9" s="1"/>
  <c r="I114" i="9"/>
  <c r="L114" i="9" s="1"/>
  <c r="I115" i="9"/>
  <c r="L115" i="9" s="1"/>
  <c r="I116" i="9"/>
  <c r="L116" i="9" s="1"/>
  <c r="I117" i="9"/>
  <c r="L117" i="9" s="1"/>
  <c r="I118" i="9"/>
  <c r="I119" i="9"/>
  <c r="L119" i="9" s="1"/>
  <c r="I120" i="9"/>
  <c r="L120" i="9" s="1"/>
  <c r="I121" i="9"/>
  <c r="L121" i="9" s="1"/>
  <c r="I122" i="9"/>
  <c r="L122" i="9" s="1"/>
  <c r="I123" i="9"/>
  <c r="L123" i="9" s="1"/>
  <c r="I124" i="9"/>
  <c r="L124" i="9" s="1"/>
  <c r="I125" i="9"/>
  <c r="L125" i="9" s="1"/>
  <c r="I126" i="9"/>
  <c r="I127" i="9"/>
  <c r="L127" i="9" s="1"/>
  <c r="I128" i="9"/>
  <c r="L128" i="9" s="1"/>
  <c r="I129" i="9"/>
  <c r="L129" i="9" s="1"/>
  <c r="I130" i="9"/>
  <c r="L130" i="9" s="1"/>
  <c r="I131" i="9"/>
  <c r="L131" i="9" s="1"/>
  <c r="I132" i="9"/>
  <c r="L132" i="9" s="1"/>
  <c r="I133" i="9"/>
  <c r="L133" i="9" s="1"/>
  <c r="I134" i="9"/>
  <c r="I135" i="9"/>
  <c r="L135" i="9" s="1"/>
  <c r="I136" i="9"/>
  <c r="L136" i="9" s="1"/>
  <c r="I137" i="9"/>
  <c r="L137" i="9" s="1"/>
  <c r="I138" i="9"/>
  <c r="L138" i="9" s="1"/>
  <c r="I139" i="9"/>
  <c r="L139" i="9" s="1"/>
  <c r="I140" i="9"/>
  <c r="L140" i="9" s="1"/>
  <c r="I141" i="9"/>
  <c r="L141" i="9" s="1"/>
  <c r="I142" i="9"/>
  <c r="I143" i="9"/>
  <c r="L143" i="9" s="1"/>
  <c r="I144" i="9"/>
  <c r="L144" i="9" s="1"/>
  <c r="I145" i="9"/>
  <c r="L145" i="9" s="1"/>
  <c r="I146" i="9"/>
  <c r="L146" i="9" s="1"/>
  <c r="I147" i="9"/>
  <c r="L147" i="9" s="1"/>
  <c r="I148" i="9"/>
  <c r="L148" i="9" s="1"/>
  <c r="I149" i="9"/>
  <c r="L149" i="9" s="1"/>
  <c r="I150" i="9"/>
  <c r="I151" i="9"/>
  <c r="L151" i="9" s="1"/>
  <c r="I152" i="9"/>
  <c r="L152" i="9" s="1"/>
  <c r="I153" i="9"/>
  <c r="L153" i="9" s="1"/>
  <c r="I154" i="9"/>
  <c r="L154" i="9" s="1"/>
  <c r="I155" i="9"/>
  <c r="L155" i="9" s="1"/>
  <c r="I156" i="9"/>
  <c r="L156" i="9" s="1"/>
  <c r="I157" i="9"/>
  <c r="L157" i="9" s="1"/>
  <c r="I158" i="9"/>
  <c r="I159" i="9"/>
  <c r="L159" i="9" s="1"/>
  <c r="I160" i="9"/>
  <c r="L160" i="9" s="1"/>
  <c r="I161" i="9"/>
  <c r="L161" i="9" s="1"/>
  <c r="I162" i="9"/>
  <c r="L162" i="9" s="1"/>
  <c r="I163" i="9"/>
  <c r="L163" i="9" s="1"/>
  <c r="I164" i="9"/>
  <c r="L164" i="9" s="1"/>
  <c r="I165" i="9"/>
  <c r="L165" i="9" s="1"/>
  <c r="I166" i="9"/>
  <c r="I167" i="9"/>
  <c r="L167" i="9" s="1"/>
  <c r="I168" i="9"/>
  <c r="L168" i="9" s="1"/>
  <c r="I169" i="9"/>
  <c r="L169" i="9" s="1"/>
  <c r="I170" i="9"/>
  <c r="L170" i="9" s="1"/>
  <c r="I171" i="9"/>
  <c r="L171" i="9" s="1"/>
  <c r="I172" i="9"/>
  <c r="L172" i="9" s="1"/>
  <c r="I173" i="9"/>
  <c r="L173" i="9" s="1"/>
  <c r="I174" i="9"/>
  <c r="I175" i="9"/>
  <c r="L175" i="9" s="1"/>
  <c r="I176" i="9"/>
  <c r="L176" i="9" s="1"/>
  <c r="I177" i="9"/>
  <c r="L177" i="9" s="1"/>
  <c r="I178" i="9"/>
  <c r="L178" i="9" s="1"/>
  <c r="I179" i="9"/>
  <c r="L179" i="9" s="1"/>
  <c r="I180" i="9"/>
  <c r="L180" i="9" s="1"/>
  <c r="I181" i="9"/>
  <c r="L181" i="9" s="1"/>
  <c r="I182" i="9"/>
  <c r="I183" i="9"/>
  <c r="L183" i="9" s="1"/>
  <c r="I184" i="9"/>
  <c r="L184" i="9" s="1"/>
  <c r="I185" i="9"/>
  <c r="L185" i="9" s="1"/>
  <c r="I186" i="9"/>
  <c r="L186" i="9" s="1"/>
  <c r="I187" i="9"/>
  <c r="L187" i="9" s="1"/>
  <c r="I188" i="9"/>
  <c r="L188" i="9" s="1"/>
  <c r="I189" i="9"/>
  <c r="L189" i="9" s="1"/>
  <c r="I190" i="9"/>
  <c r="I191" i="9"/>
  <c r="L191" i="9" s="1"/>
  <c r="I192" i="9"/>
  <c r="L192" i="9" s="1"/>
  <c r="I193" i="9"/>
  <c r="L193" i="9" s="1"/>
  <c r="I194" i="9"/>
  <c r="L194" i="9" s="1"/>
  <c r="I195" i="9"/>
  <c r="L195" i="9" s="1"/>
  <c r="I196" i="9"/>
  <c r="L196" i="9" s="1"/>
  <c r="I197" i="9"/>
  <c r="L197" i="9" s="1"/>
  <c r="I198" i="9"/>
  <c r="I199" i="9"/>
  <c r="L199" i="9" s="1"/>
  <c r="I200" i="9"/>
  <c r="L200" i="9" s="1"/>
  <c r="I201" i="9"/>
  <c r="L201" i="9" s="1"/>
  <c r="I202" i="9"/>
  <c r="L202" i="9" s="1"/>
  <c r="I203" i="9"/>
  <c r="L203" i="9" s="1"/>
  <c r="I204" i="9"/>
  <c r="L204" i="9" s="1"/>
  <c r="I205" i="9"/>
  <c r="L205" i="9" s="1"/>
  <c r="I206" i="9"/>
  <c r="I207" i="9"/>
  <c r="L207" i="9" s="1"/>
  <c r="I208" i="9"/>
  <c r="L208" i="9" s="1"/>
  <c r="I209" i="9"/>
  <c r="L209" i="9" s="1"/>
  <c r="I210" i="9"/>
  <c r="L210" i="9" s="1"/>
  <c r="I211" i="9"/>
  <c r="L211" i="9" s="1"/>
  <c r="I212" i="9"/>
  <c r="L212" i="9" s="1"/>
  <c r="I213" i="9"/>
  <c r="L213" i="9" s="1"/>
  <c r="I214" i="9"/>
  <c r="I215" i="9"/>
  <c r="L215" i="9" s="1"/>
  <c r="I216" i="9"/>
  <c r="L216" i="9" s="1"/>
  <c r="I217" i="9"/>
  <c r="L217" i="9" s="1"/>
  <c r="I218" i="9"/>
  <c r="L218" i="9" s="1"/>
  <c r="I219" i="9"/>
  <c r="L219" i="9" s="1"/>
  <c r="I220" i="9"/>
  <c r="L220" i="9" s="1"/>
  <c r="I221" i="9"/>
  <c r="L221" i="9" s="1"/>
  <c r="I222" i="9"/>
  <c r="I223" i="9"/>
  <c r="L223" i="9" s="1"/>
  <c r="I224" i="9"/>
  <c r="L224" i="9" s="1"/>
  <c r="I225" i="9"/>
  <c r="L225" i="9" s="1"/>
  <c r="I226" i="9"/>
  <c r="L226" i="9" s="1"/>
  <c r="I227" i="9"/>
  <c r="L227" i="9" s="1"/>
  <c r="I228" i="9"/>
  <c r="L228" i="9" s="1"/>
  <c r="I229" i="9"/>
  <c r="L229" i="9" s="1"/>
  <c r="I230" i="9"/>
  <c r="I231" i="9"/>
  <c r="L231" i="9" s="1"/>
  <c r="I232" i="9"/>
  <c r="L232" i="9" s="1"/>
  <c r="I233" i="9"/>
  <c r="L233" i="9" s="1"/>
  <c r="I234" i="9"/>
  <c r="L234" i="9" s="1"/>
  <c r="I235" i="9"/>
  <c r="L235" i="9" s="1"/>
  <c r="I236" i="9"/>
  <c r="L236" i="9" s="1"/>
  <c r="I237" i="9"/>
  <c r="L237" i="9" s="1"/>
  <c r="I238" i="9"/>
  <c r="I239" i="9"/>
  <c r="L239" i="9" s="1"/>
  <c r="I240" i="9"/>
  <c r="L240" i="9" s="1"/>
  <c r="I241" i="9"/>
  <c r="L241" i="9" s="1"/>
  <c r="I242" i="9"/>
  <c r="L242" i="9" s="1"/>
  <c r="I243" i="9"/>
  <c r="L243" i="9" s="1"/>
  <c r="I244" i="9"/>
  <c r="L244" i="9" s="1"/>
  <c r="I245" i="9"/>
  <c r="L245" i="9" s="1"/>
  <c r="I246" i="9"/>
  <c r="I247" i="9"/>
  <c r="L247" i="9" s="1"/>
  <c r="I248" i="9"/>
  <c r="L248" i="9" s="1"/>
  <c r="I249" i="9"/>
  <c r="L249" i="9" s="1"/>
  <c r="I250" i="9"/>
  <c r="L250" i="9" s="1"/>
  <c r="I251" i="9"/>
  <c r="L251" i="9" s="1"/>
  <c r="I252" i="9"/>
  <c r="L252" i="9" s="1"/>
  <c r="I253" i="9"/>
  <c r="L253" i="9" s="1"/>
  <c r="I254" i="9"/>
  <c r="I255" i="9"/>
  <c r="L255" i="9" s="1"/>
  <c r="I256" i="9"/>
  <c r="L256" i="9" s="1"/>
  <c r="I257" i="9"/>
  <c r="L257" i="9" s="1"/>
  <c r="I258" i="9"/>
  <c r="L258" i="9" s="1"/>
  <c r="I259" i="9"/>
  <c r="L259" i="9" s="1"/>
  <c r="I260" i="9"/>
  <c r="L260" i="9" s="1"/>
  <c r="I261" i="9"/>
  <c r="L261" i="9" s="1"/>
  <c r="I262" i="9"/>
  <c r="I263" i="9"/>
  <c r="L263" i="9" s="1"/>
  <c r="I264" i="9"/>
  <c r="L264" i="9" s="1"/>
  <c r="I265" i="9"/>
  <c r="L265" i="9" s="1"/>
  <c r="I266" i="9"/>
  <c r="L266" i="9" s="1"/>
  <c r="I267" i="9"/>
  <c r="L267" i="9" s="1"/>
  <c r="I268" i="9"/>
  <c r="L268" i="9" s="1"/>
  <c r="I269" i="9"/>
  <c r="L269" i="9" s="1"/>
  <c r="I270" i="9"/>
  <c r="I271" i="9"/>
  <c r="L271" i="9" s="1"/>
  <c r="I272" i="9"/>
  <c r="L272" i="9" s="1"/>
  <c r="I273" i="9"/>
  <c r="L273" i="9" s="1"/>
  <c r="I274" i="9"/>
  <c r="L274" i="9" s="1"/>
  <c r="I275" i="9"/>
  <c r="L275" i="9" s="1"/>
  <c r="I276" i="9"/>
  <c r="L276" i="9" s="1"/>
  <c r="I277" i="9"/>
  <c r="L277" i="9" s="1"/>
  <c r="I278" i="9"/>
  <c r="I279" i="9"/>
  <c r="L279" i="9" s="1"/>
  <c r="I280" i="9"/>
  <c r="L280" i="9" s="1"/>
  <c r="I281" i="9"/>
  <c r="L281" i="9" s="1"/>
  <c r="I282" i="9"/>
  <c r="L282" i="9" s="1"/>
  <c r="I283" i="9"/>
  <c r="L283" i="9" s="1"/>
  <c r="I284" i="9"/>
  <c r="L284" i="9" s="1"/>
  <c r="I285" i="9"/>
  <c r="L285" i="9" s="1"/>
  <c r="I286" i="9"/>
  <c r="I287" i="9"/>
  <c r="L287" i="9" s="1"/>
  <c r="I288" i="9"/>
  <c r="L288" i="9" s="1"/>
  <c r="I289" i="9"/>
  <c r="L289" i="9" s="1"/>
  <c r="I290" i="9"/>
  <c r="L290" i="9" s="1"/>
  <c r="I291" i="9"/>
  <c r="L291" i="9" s="1"/>
  <c r="I292" i="9"/>
  <c r="L292" i="9" s="1"/>
  <c r="I293" i="9"/>
  <c r="L293" i="9" s="1"/>
  <c r="I294" i="9"/>
  <c r="I295" i="9"/>
  <c r="L295" i="9" s="1"/>
  <c r="I296" i="9"/>
  <c r="L296" i="9" s="1"/>
  <c r="I297" i="9"/>
  <c r="L297" i="9" s="1"/>
  <c r="I298" i="9"/>
  <c r="L298" i="9" s="1"/>
  <c r="I299" i="9"/>
  <c r="L299" i="9" s="1"/>
  <c r="I300" i="9"/>
  <c r="L300" i="9" s="1"/>
  <c r="I301" i="9"/>
  <c r="L301" i="9" s="1"/>
  <c r="I302" i="9"/>
  <c r="I303" i="9"/>
  <c r="L303" i="9" s="1"/>
  <c r="I304" i="9"/>
  <c r="L304" i="9" s="1"/>
  <c r="I305" i="9"/>
  <c r="L305" i="9" s="1"/>
  <c r="I306" i="9"/>
  <c r="L306" i="9" s="1"/>
  <c r="I307" i="9"/>
  <c r="L307" i="9" s="1"/>
  <c r="I308" i="9"/>
  <c r="L308" i="9" s="1"/>
  <c r="I309" i="9"/>
  <c r="L309" i="9" s="1"/>
  <c r="I310" i="9"/>
  <c r="I311" i="9"/>
  <c r="L311" i="9" s="1"/>
  <c r="I312" i="9"/>
  <c r="L312" i="9" s="1"/>
  <c r="I313" i="9"/>
  <c r="L313" i="9" s="1"/>
  <c r="I314" i="9"/>
  <c r="L314" i="9" s="1"/>
  <c r="I315" i="9"/>
  <c r="L315" i="9" s="1"/>
  <c r="I316" i="9"/>
  <c r="L316" i="9" s="1"/>
  <c r="I317" i="9"/>
  <c r="L317" i="9" s="1"/>
  <c r="I318" i="9"/>
  <c r="I319" i="9"/>
  <c r="L319" i="9" s="1"/>
  <c r="I320" i="9"/>
  <c r="L320" i="9" s="1"/>
  <c r="I321" i="9"/>
  <c r="L321" i="9" s="1"/>
  <c r="I322" i="9"/>
  <c r="L322" i="9" s="1"/>
  <c r="I323" i="9"/>
  <c r="L323" i="9" s="1"/>
  <c r="I324" i="9"/>
  <c r="L324" i="9" s="1"/>
  <c r="I325" i="9"/>
  <c r="L325" i="9" s="1"/>
  <c r="I326" i="9"/>
  <c r="I327" i="9"/>
  <c r="L327" i="9" s="1"/>
  <c r="I328" i="9"/>
  <c r="L328" i="9" s="1"/>
  <c r="I329" i="9"/>
  <c r="L329" i="9" s="1"/>
  <c r="I330" i="9"/>
  <c r="L330" i="9" s="1"/>
  <c r="I331" i="9"/>
  <c r="L331" i="9" s="1"/>
  <c r="I332" i="9"/>
  <c r="L332" i="9" s="1"/>
  <c r="I333" i="9"/>
  <c r="L333" i="9" s="1"/>
  <c r="I334" i="9"/>
  <c r="I335" i="9"/>
  <c r="L335" i="9" s="1"/>
  <c r="I336" i="9"/>
  <c r="L336" i="9" s="1"/>
  <c r="I337" i="9"/>
  <c r="L337" i="9" s="1"/>
  <c r="I338" i="9"/>
  <c r="L338" i="9" s="1"/>
  <c r="I339" i="9"/>
  <c r="L339" i="9" s="1"/>
  <c r="I340" i="9"/>
  <c r="L340" i="9" s="1"/>
  <c r="I341" i="9"/>
  <c r="L341" i="9" s="1"/>
  <c r="I342" i="9"/>
  <c r="I343" i="9"/>
  <c r="L343" i="9" s="1"/>
  <c r="I344" i="9"/>
  <c r="L344" i="9" s="1"/>
  <c r="I345" i="9"/>
  <c r="L345" i="9" s="1"/>
  <c r="I346" i="9"/>
  <c r="L346" i="9" s="1"/>
  <c r="I347" i="9"/>
  <c r="L347" i="9" s="1"/>
  <c r="I348" i="9"/>
  <c r="L348" i="9" s="1"/>
  <c r="I349" i="9"/>
  <c r="L349" i="9" s="1"/>
  <c r="I350" i="9"/>
  <c r="I351" i="9"/>
  <c r="L351" i="9" s="1"/>
  <c r="I352" i="9"/>
  <c r="L352" i="9" s="1"/>
  <c r="I353" i="9"/>
  <c r="L353" i="9" s="1"/>
  <c r="I354" i="9"/>
  <c r="L354" i="9" s="1"/>
  <c r="I355" i="9"/>
  <c r="L355" i="9" s="1"/>
  <c r="I356" i="9"/>
  <c r="L356" i="9" s="1"/>
  <c r="I357" i="9"/>
  <c r="L357" i="9" s="1"/>
  <c r="I358" i="9"/>
  <c r="I359" i="9"/>
  <c r="L359" i="9" s="1"/>
  <c r="I360" i="9"/>
  <c r="L360" i="9" s="1"/>
  <c r="I361" i="9"/>
  <c r="L361" i="9" s="1"/>
  <c r="I362" i="9"/>
  <c r="L362" i="9" s="1"/>
  <c r="I363" i="9"/>
  <c r="L363" i="9" s="1"/>
  <c r="I364" i="9"/>
  <c r="L364" i="9" s="1"/>
  <c r="I365" i="9"/>
  <c r="L365" i="9" s="1"/>
  <c r="I366" i="9"/>
  <c r="I367" i="9"/>
  <c r="L367" i="9" s="1"/>
  <c r="I368" i="9"/>
  <c r="L368" i="9" s="1"/>
  <c r="I369" i="9"/>
  <c r="L369" i="9" s="1"/>
  <c r="I370" i="9"/>
  <c r="L370" i="9" s="1"/>
  <c r="I371" i="9"/>
  <c r="L371" i="9" s="1"/>
  <c r="I372" i="9"/>
  <c r="L372" i="9" s="1"/>
  <c r="I373" i="9"/>
  <c r="L373" i="9" s="1"/>
  <c r="I374" i="9"/>
  <c r="I375" i="9"/>
  <c r="L375" i="9" s="1"/>
  <c r="I376" i="9"/>
  <c r="L376" i="9" s="1"/>
  <c r="I377" i="9"/>
  <c r="L377" i="9" s="1"/>
  <c r="I378" i="9"/>
  <c r="L378" i="9" s="1"/>
  <c r="I379" i="9"/>
  <c r="L379" i="9" s="1"/>
  <c r="I380" i="9"/>
  <c r="L380" i="9" s="1"/>
  <c r="I381" i="9"/>
  <c r="L381" i="9" s="1"/>
  <c r="I382" i="9"/>
  <c r="I383" i="9"/>
  <c r="L383" i="9" s="1"/>
  <c r="I384" i="9"/>
  <c r="L384" i="9" s="1"/>
  <c r="I385" i="9"/>
  <c r="L385" i="9" s="1"/>
  <c r="I386" i="9"/>
  <c r="L386" i="9" s="1"/>
  <c r="I387" i="9"/>
  <c r="L387" i="9" s="1"/>
  <c r="I388" i="9"/>
  <c r="L388" i="9" s="1"/>
  <c r="I389" i="9"/>
  <c r="L389" i="9" s="1"/>
  <c r="I390" i="9"/>
  <c r="I391" i="9"/>
  <c r="L391" i="9" s="1"/>
  <c r="I392" i="9"/>
  <c r="L392" i="9" s="1"/>
  <c r="I393" i="9"/>
  <c r="L393" i="9" s="1"/>
  <c r="I394" i="9"/>
  <c r="L394" i="9" s="1"/>
  <c r="I395" i="9"/>
  <c r="L395" i="9" s="1"/>
  <c r="I396" i="9"/>
  <c r="L396" i="9" s="1"/>
  <c r="I397" i="9"/>
  <c r="L397" i="9" s="1"/>
  <c r="I398" i="9"/>
  <c r="I399" i="9"/>
  <c r="L399" i="9" s="1"/>
  <c r="I400" i="9"/>
  <c r="L400" i="9" s="1"/>
  <c r="I401" i="9"/>
  <c r="L401" i="9" s="1"/>
  <c r="I402" i="9"/>
  <c r="I403" i="9"/>
  <c r="L403" i="9" s="1"/>
  <c r="I404" i="9"/>
  <c r="L404" i="9" s="1"/>
  <c r="I405" i="9"/>
  <c r="L405" i="9" s="1"/>
  <c r="I406" i="9"/>
  <c r="I407" i="9"/>
  <c r="L407" i="9" s="1"/>
  <c r="I408" i="9"/>
  <c r="L408" i="9" s="1"/>
  <c r="I409" i="9"/>
  <c r="L409" i="9" s="1"/>
  <c r="I410" i="9"/>
  <c r="I411" i="9"/>
  <c r="L411" i="9" s="1"/>
  <c r="I412" i="9"/>
  <c r="L412" i="9" s="1"/>
  <c r="I413" i="9"/>
  <c r="L413" i="9" s="1"/>
  <c r="I414" i="9"/>
  <c r="I415" i="9"/>
  <c r="L415" i="9" s="1"/>
  <c r="I416" i="9"/>
  <c r="L416" i="9" s="1"/>
  <c r="I417" i="9"/>
  <c r="L417" i="9" s="1"/>
  <c r="I418" i="9"/>
  <c r="I419" i="9"/>
  <c r="L419" i="9" s="1"/>
  <c r="I420" i="9"/>
  <c r="L420" i="9" s="1"/>
  <c r="I421" i="9"/>
  <c r="L421" i="9" s="1"/>
  <c r="I422" i="9"/>
  <c r="I423" i="9"/>
  <c r="L423" i="9" s="1"/>
  <c r="I424" i="9"/>
  <c r="L424" i="9" s="1"/>
  <c r="I425" i="9"/>
  <c r="L425" i="9" s="1"/>
  <c r="I426" i="9"/>
  <c r="I427" i="9"/>
  <c r="L427" i="9" s="1"/>
  <c r="I428" i="9"/>
  <c r="L428" i="9" s="1"/>
  <c r="I429" i="9"/>
  <c r="L429" i="9" s="1"/>
  <c r="I430" i="9"/>
  <c r="I431" i="9"/>
  <c r="L431" i="9" s="1"/>
  <c r="I432" i="9"/>
  <c r="L432" i="9" s="1"/>
  <c r="I433" i="9"/>
  <c r="L433" i="9" s="1"/>
  <c r="I434" i="9"/>
  <c r="I435" i="9"/>
  <c r="L435" i="9" s="1"/>
  <c r="I436" i="9"/>
  <c r="L436" i="9" s="1"/>
  <c r="I437" i="9"/>
  <c r="L437" i="9" s="1"/>
  <c r="I438" i="9"/>
  <c r="I439" i="9"/>
  <c r="L439" i="9" s="1"/>
  <c r="I440" i="9"/>
  <c r="L440" i="9" s="1"/>
  <c r="I441" i="9"/>
  <c r="L441" i="9" s="1"/>
  <c r="I442" i="9"/>
  <c r="I443" i="9"/>
  <c r="L443" i="9" s="1"/>
  <c r="I444" i="9"/>
  <c r="L444" i="9" s="1"/>
  <c r="I445" i="9"/>
  <c r="L445" i="9" s="1"/>
  <c r="I446" i="9"/>
  <c r="I447" i="9"/>
  <c r="L447" i="9" s="1"/>
  <c r="I448" i="9"/>
  <c r="L448" i="9" s="1"/>
  <c r="I449" i="9"/>
  <c r="L449" i="9" s="1"/>
  <c r="I450" i="9"/>
  <c r="I451" i="9"/>
  <c r="I452" i="9"/>
  <c r="L452" i="9" s="1"/>
  <c r="I453" i="9"/>
  <c r="L453" i="9" s="1"/>
  <c r="I454" i="9"/>
  <c r="I455" i="9"/>
  <c r="L455" i="9" s="1"/>
  <c r="I456" i="9"/>
  <c r="L456" i="9" s="1"/>
  <c r="I457" i="9"/>
  <c r="L457" i="9" s="1"/>
  <c r="I458" i="9"/>
  <c r="I459" i="9"/>
  <c r="I460" i="9"/>
  <c r="L460" i="9" s="1"/>
  <c r="I461" i="9"/>
  <c r="L461" i="9" s="1"/>
  <c r="I462" i="9"/>
  <c r="I463" i="9"/>
  <c r="L463" i="9" s="1"/>
  <c r="I464" i="9"/>
  <c r="L464" i="9" s="1"/>
  <c r="I465" i="9"/>
  <c r="L465" i="9" s="1"/>
  <c r="I466" i="9"/>
  <c r="I467" i="9"/>
  <c r="I468" i="9"/>
  <c r="L468" i="9" s="1"/>
  <c r="I469" i="9"/>
  <c r="L469" i="9" s="1"/>
  <c r="I470" i="9"/>
  <c r="I471" i="9"/>
  <c r="L471" i="9" s="1"/>
  <c r="I472" i="9"/>
  <c r="L472" i="9" s="1"/>
  <c r="I473" i="9"/>
  <c r="L473" i="9" s="1"/>
  <c r="I474" i="9"/>
  <c r="I475" i="9"/>
  <c r="I476" i="9"/>
  <c r="L476" i="9" s="1"/>
  <c r="I477" i="9"/>
  <c r="L477" i="9" s="1"/>
  <c r="I478" i="9"/>
  <c r="I479" i="9"/>
  <c r="L479" i="9" s="1"/>
  <c r="I480" i="9"/>
  <c r="L480" i="9" s="1"/>
  <c r="I481" i="9"/>
  <c r="L481" i="9" s="1"/>
  <c r="I482" i="9"/>
  <c r="I483" i="9"/>
  <c r="I484" i="9"/>
  <c r="L484" i="9" s="1"/>
  <c r="I485" i="9"/>
  <c r="L485" i="9" s="1"/>
  <c r="I486" i="9"/>
  <c r="I487" i="9"/>
  <c r="L487" i="9" s="1"/>
  <c r="I488" i="9"/>
  <c r="L488" i="9" s="1"/>
  <c r="I489" i="9"/>
  <c r="L489" i="9" s="1"/>
  <c r="I490" i="9"/>
  <c r="I491" i="9"/>
  <c r="I492" i="9"/>
  <c r="L492" i="9" s="1"/>
  <c r="I493" i="9"/>
  <c r="L493" i="9" s="1"/>
  <c r="I494" i="9"/>
  <c r="I495" i="9"/>
  <c r="L495" i="9" s="1"/>
  <c r="I496" i="9"/>
  <c r="L496" i="9" s="1"/>
  <c r="I497" i="9"/>
  <c r="L497" i="9" s="1"/>
  <c r="I498" i="9"/>
  <c r="I499" i="9"/>
  <c r="I500" i="9"/>
  <c r="L500" i="9" s="1"/>
  <c r="I501" i="9"/>
  <c r="L501" i="9" s="1"/>
  <c r="I502" i="9"/>
  <c r="I503" i="9"/>
  <c r="L503" i="9" s="1"/>
  <c r="I504" i="9"/>
  <c r="L504" i="9" s="1"/>
  <c r="I505" i="9"/>
  <c r="L505" i="9" s="1"/>
  <c r="I506" i="9"/>
  <c r="I507" i="9"/>
  <c r="I508" i="9"/>
  <c r="L508" i="9" s="1"/>
  <c r="I509" i="9"/>
  <c r="L509" i="9" s="1"/>
  <c r="I510" i="9"/>
  <c r="I511" i="9"/>
  <c r="L511" i="9" s="1"/>
  <c r="I512" i="9"/>
  <c r="L512" i="9" s="1"/>
  <c r="I513" i="9"/>
  <c r="L513" i="9" s="1"/>
  <c r="I514" i="9"/>
  <c r="I515" i="9"/>
  <c r="I516" i="9"/>
  <c r="L516" i="9" s="1"/>
  <c r="I517" i="9"/>
  <c r="L517" i="9" s="1"/>
  <c r="I518" i="9"/>
  <c r="I519" i="9"/>
  <c r="L519" i="9" s="1"/>
  <c r="I520" i="9"/>
  <c r="L520" i="9" s="1"/>
  <c r="I521" i="9"/>
  <c r="L521" i="9" s="1"/>
  <c r="I522" i="9"/>
  <c r="I523" i="9"/>
  <c r="I524" i="9"/>
  <c r="L524" i="9" s="1"/>
  <c r="I525" i="9"/>
  <c r="L525" i="9" s="1"/>
  <c r="I526" i="9"/>
  <c r="I527" i="9"/>
  <c r="L527" i="9" s="1"/>
  <c r="I528" i="9"/>
  <c r="L528" i="9" s="1"/>
  <c r="I529" i="9"/>
  <c r="L529" i="9" s="1"/>
  <c r="I530" i="9"/>
  <c r="I531" i="9"/>
  <c r="I532" i="9"/>
  <c r="L532" i="9" s="1"/>
  <c r="I533" i="9"/>
  <c r="L533" i="9" s="1"/>
  <c r="I534" i="9"/>
  <c r="I535" i="9"/>
  <c r="L535" i="9" s="1"/>
  <c r="I536" i="9"/>
  <c r="L536" i="9" s="1"/>
  <c r="I537" i="9"/>
  <c r="L537" i="9" s="1"/>
  <c r="I538" i="9"/>
  <c r="I539" i="9"/>
  <c r="I540" i="9"/>
  <c r="L540" i="9" s="1"/>
  <c r="I541" i="9"/>
  <c r="L541" i="9" s="1"/>
  <c r="I542" i="9"/>
  <c r="I543" i="9"/>
  <c r="L543" i="9" s="1"/>
  <c r="P34" i="8"/>
  <c r="P33" i="8"/>
  <c r="P32" i="8"/>
  <c r="P31" i="8"/>
  <c r="P28" i="8"/>
  <c r="P27" i="8"/>
  <c r="P26" i="8"/>
  <c r="O20" i="8"/>
  <c r="S20" i="8" s="1"/>
  <c r="AE9" i="8"/>
  <c r="AE8" i="8"/>
  <c r="AE7" i="8"/>
  <c r="AE6" i="8"/>
  <c r="AE5" i="8"/>
  <c r="AB12" i="8"/>
  <c r="AB11" i="8"/>
  <c r="AB10" i="8"/>
  <c r="AB9" i="8"/>
  <c r="AB8" i="8"/>
  <c r="AB7" i="8"/>
  <c r="AB6" i="8"/>
  <c r="AB5" i="8"/>
  <c r="AA12" i="8"/>
  <c r="AA11" i="8"/>
  <c r="AA10" i="8"/>
  <c r="AA9" i="8"/>
  <c r="AA8" i="8"/>
  <c r="AA7" i="8"/>
  <c r="AA6" i="8"/>
  <c r="AA5" i="8"/>
  <c r="AA4" i="8"/>
  <c r="Z12" i="8"/>
  <c r="Z11" i="8"/>
  <c r="Z10" i="8"/>
  <c r="Z9" i="8"/>
  <c r="Z8" i="8"/>
  <c r="Z7" i="8"/>
  <c r="Z6" i="8"/>
  <c r="Z5" i="8"/>
  <c r="Z4" i="8"/>
  <c r="Y12" i="8"/>
  <c r="Y11" i="8"/>
  <c r="Y10" i="8"/>
  <c r="Y9" i="8"/>
  <c r="Y8" i="8"/>
  <c r="Y7" i="8"/>
  <c r="Y6" i="8"/>
  <c r="Y5" i="8"/>
  <c r="Y4" i="8"/>
  <c r="X12" i="8"/>
  <c r="X11" i="8"/>
  <c r="X10" i="8"/>
  <c r="X9" i="8"/>
  <c r="X8" i="8"/>
  <c r="X7" i="8"/>
  <c r="X6" i="8"/>
  <c r="X5" i="8"/>
  <c r="X4" i="8"/>
  <c r="W12" i="8"/>
  <c r="W11" i="8"/>
  <c r="W10" i="8"/>
  <c r="W9" i="8"/>
  <c r="W8" i="8"/>
  <c r="W7" i="8"/>
  <c r="W6" i="8"/>
  <c r="W5" i="8"/>
  <c r="W4" i="8"/>
  <c r="V12" i="8"/>
  <c r="V11" i="8"/>
  <c r="V10" i="8"/>
  <c r="V9" i="8"/>
  <c r="V8" i="8"/>
  <c r="V7" i="8"/>
  <c r="V6" i="8"/>
  <c r="V5" i="8"/>
  <c r="V4" i="8"/>
  <c r="U12" i="8"/>
  <c r="U11" i="8"/>
  <c r="U10" i="8"/>
  <c r="U9" i="8"/>
  <c r="U8" i="8"/>
  <c r="U7" i="8"/>
  <c r="U6" i="8"/>
  <c r="U5" i="8"/>
  <c r="U4" i="8"/>
  <c r="T12" i="8"/>
  <c r="T11" i="8"/>
  <c r="T10" i="8"/>
  <c r="T9" i="8"/>
  <c r="T8" i="8"/>
  <c r="T7" i="8"/>
  <c r="T6" i="8"/>
  <c r="T5" i="8"/>
  <c r="T4" i="8"/>
  <c r="S12" i="8"/>
  <c r="S11" i="8"/>
  <c r="S10" i="8"/>
  <c r="S9" i="8"/>
  <c r="S8" i="8"/>
  <c r="S7" i="8"/>
  <c r="S6" i="8"/>
  <c r="S5" i="8"/>
  <c r="S4" i="8"/>
  <c r="H5" i="8"/>
  <c r="AC12" i="9" l="1"/>
  <c r="AD12" i="9"/>
  <c r="AB4" i="8"/>
  <c r="O21" i="8"/>
  <c r="AB12" i="9"/>
  <c r="Y30" i="9"/>
  <c r="Z30" i="9" s="1"/>
  <c r="Y28" i="9"/>
  <c r="Z28" i="9" s="1"/>
  <c r="Y29" i="9"/>
  <c r="Z29" i="9" s="1"/>
  <c r="Y27" i="9"/>
  <c r="Z27" i="9" s="1"/>
  <c r="P5" i="8"/>
  <c r="Q5" i="8" s="1"/>
  <c r="P4" i="8"/>
  <c r="W13" i="8" l="1"/>
  <c r="V13" i="8"/>
  <c r="U13" i="8"/>
  <c r="H15" i="8"/>
  <c r="H14" i="8"/>
  <c r="P11" i="8" l="1"/>
  <c r="Q11" i="8" s="1"/>
  <c r="P10" i="8"/>
  <c r="Q10" i="8" s="1"/>
  <c r="O33" i="10"/>
  <c r="O31" i="10"/>
  <c r="O30" i="10"/>
  <c r="P21" i="10"/>
  <c r="G9" i="10"/>
  <c r="G4" i="10"/>
  <c r="F4" i="9"/>
  <c r="X21" i="9"/>
  <c r="F13" i="9"/>
  <c r="I13" i="9" s="1"/>
  <c r="L13" i="9" s="1"/>
  <c r="F12" i="9"/>
  <c r="I9" i="9"/>
  <c r="L9" i="9" s="1"/>
  <c r="I6" i="9"/>
  <c r="L6" i="9" s="1"/>
  <c r="I7" i="9"/>
  <c r="L7" i="9" s="1"/>
  <c r="I8" i="9"/>
  <c r="L8" i="9" s="1"/>
  <c r="I10" i="9"/>
  <c r="L10" i="9" s="1"/>
  <c r="I11" i="9"/>
  <c r="L11" i="9" s="1"/>
  <c r="I12" i="9"/>
  <c r="L12" i="9" s="1"/>
  <c r="I14" i="9"/>
  <c r="L14" i="9" s="1"/>
  <c r="I15" i="9"/>
  <c r="L15" i="9" s="1"/>
  <c r="I16" i="9"/>
  <c r="L16" i="9" s="1"/>
  <c r="I17" i="9"/>
  <c r="L17" i="9" s="1"/>
  <c r="I18" i="9"/>
  <c r="L18" i="9" s="1"/>
  <c r="I19" i="9"/>
  <c r="L19" i="9" s="1"/>
  <c r="I20" i="9"/>
  <c r="L20" i="9" s="1"/>
  <c r="I21" i="9"/>
  <c r="L21" i="9" s="1"/>
  <c r="I22" i="9"/>
  <c r="L22" i="9" s="1"/>
  <c r="I23" i="9"/>
  <c r="L23" i="9" s="1"/>
  <c r="I24" i="9"/>
  <c r="L24" i="9" s="1"/>
  <c r="I25" i="9"/>
  <c r="L25" i="9" s="1"/>
  <c r="I26" i="9"/>
  <c r="L26" i="9" s="1"/>
  <c r="I27" i="9"/>
  <c r="L27" i="9" s="1"/>
  <c r="I28" i="9"/>
  <c r="L28" i="9" s="1"/>
  <c r="I29" i="9"/>
  <c r="L29" i="9" s="1"/>
  <c r="I30" i="9"/>
  <c r="L30" i="9" s="1"/>
  <c r="I31" i="9"/>
  <c r="L31" i="9" s="1"/>
  <c r="I32" i="9"/>
  <c r="L32" i="9" s="1"/>
  <c r="I33" i="9"/>
  <c r="L33" i="9" s="1"/>
  <c r="I34" i="9"/>
  <c r="L34" i="9" s="1"/>
  <c r="I35" i="9"/>
  <c r="L35" i="9" s="1"/>
  <c r="I36" i="9"/>
  <c r="L36" i="9" s="1"/>
  <c r="I37" i="9"/>
  <c r="L37" i="9" s="1"/>
  <c r="I38" i="9"/>
  <c r="L38" i="9" s="1"/>
  <c r="I39" i="9"/>
  <c r="L39" i="9" s="1"/>
  <c r="I40" i="9"/>
  <c r="L40" i="9" s="1"/>
  <c r="I41" i="9"/>
  <c r="L41" i="9" s="1"/>
  <c r="I42" i="9"/>
  <c r="L42" i="9" s="1"/>
  <c r="I43" i="9"/>
  <c r="L43" i="9" s="1"/>
  <c r="I44" i="9"/>
  <c r="L44" i="9" s="1"/>
  <c r="I45" i="9"/>
  <c r="L45" i="9" s="1"/>
  <c r="I46" i="9"/>
  <c r="L46" i="9" s="1"/>
  <c r="I47" i="9"/>
  <c r="L47" i="9" s="1"/>
  <c r="I48" i="9"/>
  <c r="L48" i="9" s="1"/>
  <c r="I49" i="9"/>
  <c r="L49" i="9" s="1"/>
  <c r="I50" i="9"/>
  <c r="L50" i="9" s="1"/>
  <c r="I51" i="9"/>
  <c r="L51" i="9" s="1"/>
  <c r="I52" i="9"/>
  <c r="L52" i="9" s="1"/>
  <c r="I53" i="9"/>
  <c r="L53" i="9" s="1"/>
  <c r="I54" i="9"/>
  <c r="L54" i="9" s="1"/>
  <c r="I55" i="9"/>
  <c r="L55" i="9" s="1"/>
  <c r="I56" i="9"/>
  <c r="L56" i="9" s="1"/>
  <c r="I57" i="9"/>
  <c r="L57" i="9" s="1"/>
  <c r="I58" i="9"/>
  <c r="L58" i="9" s="1"/>
  <c r="I59" i="9"/>
  <c r="L59" i="9" s="1"/>
  <c r="I60" i="9"/>
  <c r="L60" i="9" s="1"/>
  <c r="I61" i="9"/>
  <c r="L61" i="9" s="1"/>
  <c r="I62" i="9"/>
  <c r="L62" i="9" s="1"/>
  <c r="I63" i="9"/>
  <c r="L63" i="9" s="1"/>
  <c r="I64" i="9"/>
  <c r="L64" i="9" s="1"/>
  <c r="I65" i="9"/>
  <c r="L65" i="9" s="1"/>
  <c r="I66" i="9"/>
  <c r="L66" i="9" s="1"/>
  <c r="I67" i="9"/>
  <c r="L67" i="9" s="1"/>
  <c r="I68" i="9"/>
  <c r="L68" i="9" s="1"/>
  <c r="I69" i="9"/>
  <c r="L69" i="9" s="1"/>
  <c r="I70" i="9"/>
  <c r="L70" i="9" s="1"/>
  <c r="I71" i="9"/>
  <c r="L71" i="9" s="1"/>
  <c r="I72" i="9"/>
  <c r="L72" i="9" s="1"/>
  <c r="I73" i="9"/>
  <c r="L73" i="9" s="1"/>
  <c r="I74" i="9"/>
  <c r="L74" i="9" s="1"/>
  <c r="I75" i="9"/>
  <c r="L75" i="9" s="1"/>
  <c r="I76" i="9"/>
  <c r="L76" i="9" s="1"/>
  <c r="I77" i="9"/>
  <c r="L77" i="9" s="1"/>
  <c r="I78" i="9"/>
  <c r="L78" i="9" s="1"/>
  <c r="I79" i="9"/>
  <c r="L79" i="9" s="1"/>
  <c r="I80" i="9"/>
  <c r="L80" i="9" s="1"/>
  <c r="I81" i="9"/>
  <c r="L81" i="9" s="1"/>
  <c r="I82" i="9"/>
  <c r="L82" i="9" s="1"/>
  <c r="I83" i="9"/>
  <c r="L83" i="9" s="1"/>
  <c r="I84" i="9"/>
  <c r="L84" i="9" s="1"/>
  <c r="I85" i="9"/>
  <c r="L85" i="9" s="1"/>
  <c r="I86" i="9"/>
  <c r="L86" i="9" s="1"/>
  <c r="I87" i="9"/>
  <c r="L87" i="9" s="1"/>
  <c r="I88" i="9"/>
  <c r="L88" i="9" s="1"/>
  <c r="I89" i="9"/>
  <c r="L89" i="9" s="1"/>
  <c r="I90" i="9"/>
  <c r="L90" i="9" s="1"/>
  <c r="I91" i="9"/>
  <c r="L91" i="9" s="1"/>
  <c r="I92" i="9"/>
  <c r="L92" i="9" s="1"/>
  <c r="I93" i="9"/>
  <c r="L93" i="9" s="1"/>
  <c r="I94" i="9"/>
  <c r="L94" i="9" s="1"/>
  <c r="I95" i="9"/>
  <c r="L95" i="9" s="1"/>
  <c r="I96" i="9"/>
  <c r="L96" i="9" s="1"/>
  <c r="I97" i="9"/>
  <c r="L97" i="9" s="1"/>
  <c r="I98" i="9"/>
  <c r="L98" i="9" s="1"/>
  <c r="I99" i="9"/>
  <c r="L99" i="9" s="1"/>
  <c r="I100" i="9"/>
  <c r="L100" i="9" s="1"/>
  <c r="I101" i="9"/>
  <c r="L101" i="9" s="1"/>
  <c r="I102" i="9"/>
  <c r="L102" i="9" s="1"/>
  <c r="I103" i="9"/>
  <c r="L103" i="9" s="1"/>
  <c r="L4" i="9"/>
  <c r="AA22" i="9" s="1"/>
  <c r="H13" i="8"/>
  <c r="H12" i="8"/>
  <c r="H8" i="8"/>
  <c r="H7" i="8"/>
  <c r="H9" i="8"/>
  <c r="Q28" i="8"/>
  <c r="Q27" i="8"/>
  <c r="H6" i="8"/>
  <c r="Y7" i="10" l="1"/>
  <c r="Y12" i="10" s="1"/>
  <c r="M20" i="10"/>
  <c r="P20" i="10" s="1"/>
  <c r="N27" i="10"/>
  <c r="N25" i="10"/>
  <c r="O25" i="10" s="1"/>
  <c r="R32" i="8"/>
  <c r="Q32" i="8"/>
  <c r="R31" i="8"/>
  <c r="S31" i="8" s="1"/>
  <c r="Q31" i="8"/>
  <c r="R33" i="8"/>
  <c r="Q33" i="8"/>
  <c r="R34" i="8"/>
  <c r="Q34" i="8"/>
  <c r="R26" i="8"/>
  <c r="Q26" i="8"/>
  <c r="O22" i="8"/>
  <c r="Q22" i="8" s="1"/>
  <c r="P12" i="8"/>
  <c r="Q12" i="8" s="1"/>
  <c r="P7" i="8"/>
  <c r="Q7" i="8" s="1"/>
  <c r="Z13" i="8"/>
  <c r="P6" i="8"/>
  <c r="Q6" i="8" s="1"/>
  <c r="Q12" i="10"/>
  <c r="X12" i="10"/>
  <c r="V12" i="10"/>
  <c r="N6" i="10"/>
  <c r="U12" i="10"/>
  <c r="N5" i="10"/>
  <c r="N4" i="10"/>
  <c r="P31" i="10"/>
  <c r="P12" i="10"/>
  <c r="W12" i="10"/>
  <c r="O32" i="10"/>
  <c r="P32" i="10" s="1"/>
  <c r="P33" i="10"/>
  <c r="P30" i="10"/>
  <c r="X6" i="9"/>
  <c r="AA12" i="9"/>
  <c r="I5" i="9"/>
  <c r="L5" i="9" s="1"/>
  <c r="AF12" i="9"/>
  <c r="AI12" i="9"/>
  <c r="AG12" i="9"/>
  <c r="X4" i="9"/>
  <c r="P8" i="8"/>
  <c r="Q8" i="8" s="1"/>
  <c r="R28" i="8"/>
  <c r="R27" i="8"/>
  <c r="Y13" i="8"/>
  <c r="AA13" i="8"/>
  <c r="AB13" i="8"/>
  <c r="X13" i="8"/>
  <c r="T13" i="8"/>
  <c r="N7" i="10" l="1"/>
  <c r="AE12" i="9"/>
  <c r="X7" i="9"/>
  <c r="S34" i="8"/>
  <c r="AE10" i="8"/>
  <c r="AF9" i="8" s="1"/>
  <c r="S33" i="8"/>
  <c r="S32" i="8"/>
  <c r="Z19" i="9"/>
  <c r="Z20" i="9"/>
  <c r="X20" i="9"/>
  <c r="S13" i="8"/>
  <c r="Q20" i="8"/>
  <c r="S22" i="8"/>
  <c r="S21" i="8"/>
  <c r="Q21" i="8"/>
  <c r="Q4" i="8"/>
  <c r="X5" i="9"/>
  <c r="M22" i="10"/>
  <c r="P19" i="10"/>
  <c r="P22" i="10" s="1"/>
  <c r="O26" i="10"/>
  <c r="O27" i="10"/>
  <c r="N8" i="10"/>
  <c r="Z21" i="9"/>
  <c r="V22" i="9"/>
  <c r="Z12" i="9"/>
  <c r="AL9" i="9"/>
  <c r="P9" i="8"/>
  <c r="O23" i="8"/>
  <c r="X12" i="9" l="1"/>
  <c r="Z22" i="9"/>
  <c r="P13" i="8"/>
  <c r="R15" i="8" s="1"/>
  <c r="Q9" i="8"/>
  <c r="Q13" i="8" s="1"/>
  <c r="AF10" i="8"/>
  <c r="AF5" i="8"/>
  <c r="AF4" i="8"/>
  <c r="AF7" i="8"/>
  <c r="AF8" i="8"/>
  <c r="AF6" i="8"/>
  <c r="X22" i="9"/>
  <c r="Y4" i="9"/>
  <c r="S23" i="8"/>
  <c r="N21" i="10"/>
  <c r="N20" i="10"/>
  <c r="N19" i="10"/>
  <c r="N12" i="10"/>
  <c r="W21" i="9"/>
  <c r="AM9" i="9"/>
  <c r="AM6" i="9"/>
  <c r="AM5" i="9"/>
  <c r="AM4" i="9"/>
  <c r="AM7" i="9"/>
  <c r="AM8" i="9"/>
  <c r="P22" i="8"/>
  <c r="P20" i="8"/>
  <c r="P21" i="8"/>
  <c r="Y5" i="9" l="1"/>
  <c r="W22" i="9"/>
  <c r="Y7" i="9"/>
  <c r="Y14" i="9"/>
  <c r="Y6" i="9"/>
  <c r="R7" i="8"/>
  <c r="R6" i="8"/>
  <c r="P23" i="8"/>
  <c r="R8" i="8"/>
  <c r="R13" i="8"/>
  <c r="R9" i="8"/>
  <c r="R5" i="8"/>
  <c r="R4" i="8"/>
  <c r="Y12" i="9"/>
  <c r="Y8" i="9"/>
  <c r="O5" i="10"/>
  <c r="O14" i="10"/>
  <c r="N22" i="10"/>
  <c r="O4" i="10"/>
  <c r="O7" i="10"/>
  <c r="O12" i="10"/>
  <c r="O6" i="10"/>
  <c r="O8" i="10"/>
</calcChain>
</file>

<file path=xl/comments1.xml><?xml version="1.0" encoding="utf-8"?>
<comments xmlns="http://schemas.openxmlformats.org/spreadsheetml/2006/main">
  <authors>
    <author>Donate-PC</author>
  </authors>
  <commentList>
    <comment ref="L6" authorId="0" shapeId="0">
      <text>
        <r>
          <rPr>
            <sz val="9"/>
            <color indexed="81"/>
            <rFont val="Tahoma"/>
            <family val="2"/>
          </rPr>
          <t>Codes are:
ANH = Absolute Non-Hazardous
MNH = Mirror Non-Hazardous
MH* = Mirror Hazardous*
AH = Absolute Hazardous*
For entries marked with ‘A’ the interpretation in the BMU Guidance Document differs from the abovepresented interpretation, see http://www.bmub.bund.de/fileadmin/bmu- import/files/abfallwirtschaft/downloads/application/pdf/avv_erlaeuterungen.pdf.
For entries marked with ‘B’, the interpretation in UK Guidance Document differs from the abovepresented interpretation, see https://www.gov.uk/government/publications/waste- classification-technical-guidance.</t>
        </r>
      </text>
    </comment>
    <comment ref="M6" authorId="0" shapeId="0">
      <text>
        <r>
          <rPr>
            <sz val="9"/>
            <color indexed="81"/>
            <rFont val="Tahoma"/>
            <family val="2"/>
          </rPr>
          <t xml:space="preserve">Solely for the purposes of reporting under Level(s). Assumption should be overwritten in the case of other evidence proving otherwise (e.g. landfill waste acceptance criteria proving non-inertness) or national legislation defining otherwise. 
</t>
        </r>
      </text>
    </comment>
    <comment ref="V6" authorId="0" shapeId="0">
      <text>
        <r>
          <rPr>
            <sz val="9"/>
            <color indexed="81"/>
            <rFont val="Tahoma"/>
            <family val="2"/>
          </rPr>
          <t>Codes are:
ANH = Absolute Non-Hazardous
MNH = Mirror Non-Hazardous
MH* = Mirror Hazardous*
AH = Absolute Hazardous*
For entries marked with ‘A’ the interpretation in the BMU Guidance Document differs from the abovepresented interpretation, see http://www.bmub.bund.de/fileadmin/bmu- import/files/abfallwirtschaft/downloads/application/pdf/avv_erlaeuterungen.pdf.
For entries marked with ‘B’, the interpretation in UK Guidance Document differs from the abovepresented interpretation, see https://www.gov.uk/government/publications/waste- classification-technical-guidance.</t>
        </r>
      </text>
    </comment>
    <comment ref="W6" authorId="0" shapeId="0">
      <text>
        <r>
          <rPr>
            <sz val="9"/>
            <color indexed="81"/>
            <rFont val="Tahoma"/>
            <family val="2"/>
          </rPr>
          <t xml:space="preserve">Solely for the purposes of reporting under Level(s). Assumption should be overwritten in the case of other evidence proving otherwise (e.g. landfill waste acceptance criteria proving non-inertness) or national legislation defining otherwise. 
</t>
        </r>
      </text>
    </comment>
    <comment ref="L12" authorId="0" shapeId="0">
      <text>
        <r>
          <rPr>
            <sz val="9"/>
            <color indexed="81"/>
            <rFont val="Tahoma"/>
            <family val="2"/>
          </rPr>
          <t>Codes are:
ANH = Absolute Non-Hazardous
MNH = Mirror Non-Hazardous
MH* = Mirror Hazardous*
AH = Absolute Hazardous*
For entries marked with ‘A’ the interpretation in the BMU Guidance Document differs from the abovepresented interpretation, see http://www.bmub.bund.de/fileadmin/bmu- import/files/abfallwirtschaft/downloads/application/pdf/avv_erlaeuterungen.pdf.
For entries marked with ‘B’, the interpretation in UK Guidance Document differs from the abovepresented interpretation, see https://www.gov.uk/government/publications/waste- classification-technical-guidance.</t>
        </r>
      </text>
    </comment>
    <comment ref="M12" authorId="0" shapeId="0">
      <text>
        <r>
          <rPr>
            <sz val="9"/>
            <color indexed="81"/>
            <rFont val="Tahoma"/>
            <family val="2"/>
          </rPr>
          <t xml:space="preserve">Solely for the purposes of reporting under Level(s). Assumption should be overwritten in the case of other evidence proving otherwise (e.g. landfill waste acceptance criteria proving non-inertness) or national legislation defining otherwise. 
</t>
        </r>
      </text>
    </comment>
    <comment ref="L17" authorId="0" shapeId="0">
      <text>
        <r>
          <rPr>
            <sz val="9"/>
            <color indexed="81"/>
            <rFont val="Tahoma"/>
            <family val="2"/>
          </rPr>
          <t>Codes are:
ANH = Absolute Non-Hazardous
MNH = Mirror Non-Hazardous
MH* = Mirror Hazardous*
AH = Absolute Hazardous*
For entries marked with ‘A’ the interpretation in the BMU Guidance Document differs from the abovepresented interpretation, see http://www.bmub.bund.de/fileadmin/bmu- import/files/abfallwirtschaft/downloads/application/pdf/avv_erlaeuterungen.pdf.
For entries marked with ‘B’, the interpretation in UK Guidance Document differs from the abovepresented interpretation, see https://www.gov.uk/government/publications/waste- classification-technical-guidance.</t>
        </r>
      </text>
    </comment>
    <comment ref="M17" authorId="0" shapeId="0">
      <text>
        <r>
          <rPr>
            <sz val="9"/>
            <color indexed="81"/>
            <rFont val="Tahoma"/>
            <family val="2"/>
          </rPr>
          <t xml:space="preserve">Solely for the purposes of reporting under Level(s). Assumption should be overwritten in the case of other evidence proving otherwise (e.g. landfill waste acceptance criteria proving non-inertness) or national legislation defining otherwise. 
</t>
        </r>
      </text>
    </comment>
    <comment ref="V18" authorId="0" shapeId="0">
      <text>
        <r>
          <rPr>
            <sz val="9"/>
            <color indexed="81"/>
            <rFont val="Tahoma"/>
            <family val="2"/>
          </rPr>
          <t>Codes are:
ANH = Absolute Non-Hazardous
MNH = Mirror Non-Hazardous
MH* = Mirror Hazardous*
AH = Absolute Hazardous*
For entries marked with ‘A’ the interpretation in the BMU Guidance Document differs from the abovepresented interpretation, see http://www.bmub.bund.de/fileadmin/bmu- import/files/abfallwirtschaft/downloads/application/pdf/avv_erlaeuterungen.pdf.
For entries marked with ‘B’, the interpretation in UK Guidance Document differs from the abovepresented interpretation, see https://www.gov.uk/government/publications/waste- classification-technical-guidance.</t>
        </r>
      </text>
    </comment>
    <comment ref="W18" authorId="0" shapeId="0">
      <text>
        <r>
          <rPr>
            <sz val="9"/>
            <color indexed="81"/>
            <rFont val="Tahoma"/>
            <family val="2"/>
          </rPr>
          <t xml:space="preserve">Solely for the purposes of reporting under Level(s). Assumption should be overwritten in the case of other evidence proving otherwise (e.g. landfill waste acceptance criteria proving non-inertness) or national legislation defining otherwise. 
</t>
        </r>
      </text>
    </comment>
    <comment ref="L21" authorId="0" shapeId="0">
      <text>
        <r>
          <rPr>
            <sz val="9"/>
            <color indexed="81"/>
            <rFont val="Tahoma"/>
            <family val="2"/>
          </rPr>
          <t>Codes are:
ANH = Absolute Non-Hazardous
MNH = Mirror Non-Hazardous
MH* = Mirror Hazardous*
AH = Absolute Hazardous*
For entries marked with ‘A’ the interpretation in the BMU Guidance Document differs from the abovepresented interpretation, see http://www.bmub.bund.de/fileadmin/bmu- import/files/abfallwirtschaft/downloads/application/pdf/avv_erlaeuterungen.pdf.
For entries marked with ‘B’, the interpretation in UK Guidance Document differs from the abovepresented interpretation, see https://www.gov.uk/government/publications/waste- classification-technical-guidance.</t>
        </r>
      </text>
    </comment>
    <comment ref="M21" authorId="0" shapeId="0">
      <text>
        <r>
          <rPr>
            <sz val="9"/>
            <color indexed="81"/>
            <rFont val="Tahoma"/>
            <family val="2"/>
          </rPr>
          <t xml:space="preserve">Solely for the purposes of reporting under Level(s). Assumption should be overwritten in the case of other evidence proving otherwise (e.g. landfill waste acceptance criteria proving non-inertness) or national legislation defining otherwise. 
</t>
        </r>
      </text>
    </comment>
    <comment ref="E30" authorId="0" shapeId="0">
      <text>
        <r>
          <rPr>
            <b/>
            <sz val="9"/>
            <color indexed="81"/>
            <rFont val="Tahoma"/>
            <family val="2"/>
          </rPr>
          <t>Shane: so would all PVC cables be considered here? Due to risk of containing CMR phthalates?</t>
        </r>
      </text>
    </comment>
    <comment ref="L32" authorId="0" shapeId="0">
      <text>
        <r>
          <rPr>
            <sz val="9"/>
            <color indexed="81"/>
            <rFont val="Tahoma"/>
            <family val="2"/>
          </rPr>
          <t>Codes are:
ANH = Absolute Non-Hazardous
MNH = Mirror Non-Hazardous
MH* = Mirror Hazardous*
AH = Absolute Hazardous*
For entries marked with ‘A’ the interpretation in the BMU Guidance Document differs from the abovepresented interpretation, see http://www.bmub.bund.de/fileadmin/bmu- import/files/abfallwirtschaft/downloads/application/pdf/avv_erlaeuterungen.pdf.
For entries marked with ‘B’, the interpretation in UK Guidance Document differs from the abovepresented interpretation, see https://www.gov.uk/government/publications/waste- classification-technical-guidance.</t>
        </r>
      </text>
    </comment>
    <comment ref="M32" authorId="0" shapeId="0">
      <text>
        <r>
          <rPr>
            <sz val="9"/>
            <color indexed="81"/>
            <rFont val="Tahoma"/>
            <family val="2"/>
          </rPr>
          <t xml:space="preserve">Solely for the purposes of reporting under Level(s). Assumption should be overwritten in the case of other evidence proving otherwise (e.g. landfill waste acceptance criteria proving non-inertness) or national legislation defining otherwise. 
</t>
        </r>
      </text>
    </comment>
    <comment ref="L39" authorId="0" shapeId="0">
      <text>
        <r>
          <rPr>
            <sz val="9"/>
            <color indexed="81"/>
            <rFont val="Tahoma"/>
            <family val="2"/>
          </rPr>
          <t>Codes are:
ANH = Absolute Non-Hazardous
MNH = Mirror Non-Hazardous
MH* = Mirror Hazardous*
AH = Absolute Hazardous*
For entries marked with ‘A’ the interpretation in the BMU Guidance Document differs from the abovepresented interpretation, see http://www.bmub.bund.de/fileadmin/bmu- import/files/abfallwirtschaft/downloads/application/pdf/avv_erlaeuterungen.pdf.
For entries marked with ‘B’, the interpretation in UK Guidance Document differs from the abovepresented interpretation, see https://www.gov.uk/government/publications/waste- classification-technical-guidance.</t>
        </r>
      </text>
    </comment>
    <comment ref="M39" authorId="0" shapeId="0">
      <text>
        <r>
          <rPr>
            <sz val="9"/>
            <color indexed="81"/>
            <rFont val="Tahoma"/>
            <family val="2"/>
          </rPr>
          <t xml:space="preserve">Solely for the purposes of reporting under Level(s). Assumption should be overwritten in the case of other evidence proving otherwise (e.g. landfill waste acceptance criteria proving non-inertness) or national legislation defining otherwise. 
</t>
        </r>
      </text>
    </comment>
    <comment ref="L44" authorId="0" shapeId="0">
      <text>
        <r>
          <rPr>
            <sz val="9"/>
            <color indexed="81"/>
            <rFont val="Tahoma"/>
            <family val="2"/>
          </rPr>
          <t>Codes are:
ANH = Absolute Non-Hazardous
MNH = Mirror Non-Hazardous
MH* = Mirror Hazardous*
AH = Absolute Hazardous*
For entries marked with ‘A’ the interpretation in the BMU Guidance Document differs from the abovepresented interpretation, see http://www.bmub.bund.de/fileadmin/bmu- import/files/abfallwirtschaft/downloads/application/pdf/avv_erlaeuterungen.pdf.
For entries marked with ‘B’, the interpretation in UK Guidance Document differs from the abovepresented interpretation, see https://www.gov.uk/government/publications/waste- classification-technical-guidance.</t>
        </r>
      </text>
    </comment>
    <comment ref="M44" authorId="0" shapeId="0">
      <text>
        <r>
          <rPr>
            <sz val="9"/>
            <color indexed="81"/>
            <rFont val="Tahoma"/>
            <family val="2"/>
          </rPr>
          <t xml:space="preserve">Solely for the purposes of reporting under Level(s). Assumption should be overwritten in the case of other evidence proving otherwise (e.g. landfill waste acceptance criteria proving non-inertness) or national legislation defining otherwise. 
</t>
        </r>
      </text>
    </comment>
    <comment ref="L47" authorId="0" shapeId="0">
      <text>
        <r>
          <rPr>
            <sz val="9"/>
            <color indexed="81"/>
            <rFont val="Tahoma"/>
            <family val="2"/>
          </rPr>
          <t>Codes are:
ANH = Absolute Non-Hazardous
MNH = Mirror Non-Hazardous
MH* = Mirror Hazardous*
AH = Absolute Hazardous*
For entries marked with ‘A’ the interpretation in the BMU Guidance Document differs from the abovepresented interpretation, see http://www.bmub.bund.de/fileadmin/bmu- import/files/abfallwirtschaft/downloads/application/pdf/avv_erlaeuterungen.pdf.
For entries marked with ‘B’, the interpretation in UK Guidance Document differs from the abovepresented interpretation, see https://www.gov.uk/government/publications/waste- classification-technical-guidance.</t>
        </r>
      </text>
    </comment>
    <comment ref="M47" authorId="0" shapeId="0">
      <text>
        <r>
          <rPr>
            <sz val="9"/>
            <color indexed="81"/>
            <rFont val="Tahoma"/>
            <family val="2"/>
          </rPr>
          <t xml:space="preserve">Solely for the purposes of reporting under Level(s). Assumption should be overwritten in the case of other evidence proving otherwise (e.g. landfill waste acceptance criteria proving non-inertness) or national legislation defining otherwise. 
</t>
        </r>
      </text>
    </comment>
  </commentList>
</comments>
</file>

<file path=xl/comments2.xml><?xml version="1.0" encoding="utf-8"?>
<comments xmlns="http://schemas.openxmlformats.org/spreadsheetml/2006/main">
  <authors>
    <author>Donate-PC</author>
    <author>DONATELLO Shane (JRC-SEVILLA)</author>
  </authors>
  <commentList>
    <comment ref="A3" authorId="0" shapeId="0">
      <text>
        <r>
          <rPr>
            <sz val="9"/>
            <color indexed="81"/>
            <rFont val="Tahoma"/>
            <family val="2"/>
          </rPr>
          <t>To select from one of the 5 main demolition activtites defined for the Level(s) reporting format: 
1 - Prepare element for onsite reuse;
2 - decontamination (the selectvie removal of hazardous materials or substances);
3 - stripping of high-value materials or elements/components (for sale/reuse offsite);
4 - Deconstruction of elements (for sale/reuse offsite)
5 - Demolition (including selective demolition)</t>
        </r>
      </text>
    </comment>
    <comment ref="B3" authorId="0" shapeId="0">
      <text>
        <r>
          <rPr>
            <sz val="9"/>
            <color indexed="81"/>
            <rFont val="Tahoma"/>
            <family val="2"/>
          </rPr>
          <t>Select from dropdown menu or overwrite if not available in list (e.g. mixtures, WEEE etc.).  If overwriting, just click on OK, when the warning message appears.</t>
        </r>
      </text>
    </comment>
    <comment ref="C3" authorId="0" shapeId="0">
      <text>
        <r>
          <rPr>
            <sz val="9"/>
            <color indexed="81"/>
            <rFont val="Tahoma"/>
            <family val="2"/>
          </rPr>
          <t>This will be largely determined by the List of Waste (LoW) code that is chosen (next column). Further guidance is available on the Level 1 worksheet.
Even if element or material is being reused, insert what type of waste IT WOULD BE, if it were to be disposed of.</t>
        </r>
      </text>
    </comment>
    <comment ref="D3" authorId="0" shapeId="0">
      <text>
        <r>
          <rPr>
            <sz val="9"/>
            <color indexed="81"/>
            <rFont val="Tahoma"/>
            <family val="2"/>
          </rPr>
          <t>As per Commission Decision 2014/955/EU. 
All CDW codes have been reproduced in the Level 1 worksheet in this excel file for ease of reference.
Even if element or material is being reused, insert what type of waste</t>
        </r>
        <r>
          <rPr>
            <b/>
            <sz val="9"/>
            <color indexed="81"/>
            <rFont val="Tahoma"/>
            <family val="2"/>
          </rPr>
          <t xml:space="preserve"> IT WOULD BE</t>
        </r>
        <r>
          <rPr>
            <sz val="9"/>
            <color indexed="81"/>
            <rFont val="Tahoma"/>
            <family val="2"/>
          </rPr>
          <t>, if it were to be disposed of. 
If the CDW or element is composed of multiple materials that will not be separated onsite, choose one of the 17 09 XX codes.
If an element is separated into component materials onsite (e.g. a door into metal, wood and glass fractions, three entries could be made for the door elements instead of one.
If WEEE arises during the project, it should be classified a the most relevant entry under sub-chapter "16 02" or "20 01".</t>
        </r>
      </text>
    </comment>
    <comment ref="E3" authorId="0" shapeId="0">
      <text>
        <r>
          <rPr>
            <sz val="9"/>
            <color indexed="81"/>
            <rFont val="Tahoma"/>
            <family val="2"/>
          </rPr>
          <t>This will have been flagged up in the field survey and will make any decontamination, stripping and deconstruction operations more efficient.
Only a very simple description of the location should be entered here. Further information can be entered in the final column or in a separate field survey report.</t>
        </r>
      </text>
    </comment>
    <comment ref="F3" authorId="0" shapeId="0">
      <text>
        <r>
          <rPr>
            <sz val="9"/>
            <color indexed="81"/>
            <rFont val="Tahoma"/>
            <family val="2"/>
          </rPr>
          <t>Lots of different units possible that are not kg:
e.g. metres length for cables);
e.g. m2 for cladding or windows);
e.g. m3 for concrete walling.</t>
        </r>
      </text>
    </comment>
    <comment ref="G3" authorId="0" shapeId="0">
      <text>
        <r>
          <rPr>
            <sz val="9"/>
            <color indexed="81"/>
            <rFont val="Tahoma"/>
            <family val="2"/>
          </rPr>
          <t>Define/assume the factor needed to convert the units in column F into kg.
Note that when converting m2 to kg and only the desnity in kg/m3 is known, an average thickness will need to be assumed as well.</t>
        </r>
      </text>
    </comment>
    <comment ref="H3" authorId="0" shapeId="0">
      <text>
        <r>
          <rPr>
            <sz val="9"/>
            <color indexed="81"/>
            <rFont val="Tahoma"/>
            <family val="2"/>
          </rPr>
          <t>The manual multiplication of the numbers in columns F and G for the same row.</t>
        </r>
      </text>
    </comment>
    <comment ref="I3" authorId="0" shapeId="0">
      <text>
        <r>
          <rPr>
            <sz val="9"/>
            <color indexed="81"/>
            <rFont val="Tahoma"/>
            <family val="2"/>
          </rPr>
          <t>Select the option that most closely reflects the best possible end use of the elements, materials or wastes, based on their inherent properties and available technologies</t>
        </r>
      </text>
    </comment>
    <comment ref="J3" authorId="0" shapeId="0">
      <text>
        <r>
          <rPr>
            <sz val="9"/>
            <color indexed="81"/>
            <rFont val="Tahoma"/>
            <family val="2"/>
          </rPr>
          <t>Select the option that is recommended for this particular project. 
If different from the highest possible outlet, this could be explained in the notes for the final column or added to the specific cell as an inserted comment in the excel file.
The main reasons for differences will be available outlets in the local region or time, space or labour constraints.</t>
        </r>
      </text>
    </comment>
    <comment ref="K3" authorId="0" shapeId="0">
      <text>
        <r>
          <rPr>
            <sz val="9"/>
            <color indexed="81"/>
            <rFont val="Tahoma"/>
            <family val="2"/>
          </rPr>
          <t>For example, the need to close off access to local roads, the need for personal protective equipment, closed storage containers etc.
Text is not wrapped to avoid rows becoming too thick</t>
        </r>
      </text>
    </comment>
    <comment ref="L3" authorId="0" shapeId="0">
      <text>
        <r>
          <rPr>
            <b/>
            <sz val="9"/>
            <color indexed="81"/>
            <rFont val="Tahoma"/>
            <family val="2"/>
          </rPr>
          <t>Donate-PC:</t>
        </r>
        <r>
          <rPr>
            <sz val="9"/>
            <color indexed="81"/>
            <rFont val="Tahoma"/>
            <family val="2"/>
          </rPr>
          <t xml:space="preserve">
Each entry could be flagged with an ID or reference number here that could link to a more detailed pre-demolition audit or inventory report. Such a report would contain further details of the material location and perhaps pictures to aid identification and information about approximate value per unit.
Text is not wrapped to avoid rows becoming too thick</t>
        </r>
      </text>
    </comment>
    <comment ref="S3" authorId="0" shapeId="0">
      <text>
        <r>
          <rPr>
            <sz val="9"/>
            <color indexed="81"/>
            <rFont val="Tahoma"/>
            <family val="2"/>
          </rPr>
          <t>All codes starting with 17 01</t>
        </r>
      </text>
    </comment>
    <comment ref="T3" authorId="0" shapeId="0">
      <text>
        <r>
          <rPr>
            <sz val="9"/>
            <color indexed="81"/>
            <rFont val="Tahoma"/>
            <family val="2"/>
          </rPr>
          <t>All codes that are 17 02 01</t>
        </r>
      </text>
    </comment>
    <comment ref="U3" authorId="1" shapeId="0">
      <text>
        <r>
          <rPr>
            <sz val="9"/>
            <color indexed="81"/>
            <rFont val="Tahoma"/>
            <family val="2"/>
          </rPr>
          <t xml:space="preserve">All codes that are 17 02 02
</t>
        </r>
      </text>
    </comment>
    <comment ref="V3" authorId="1" shapeId="0">
      <text>
        <r>
          <rPr>
            <sz val="9"/>
            <color indexed="81"/>
            <rFont val="Tahoma"/>
            <family val="2"/>
          </rPr>
          <t xml:space="preserve">All codes that are 17 02 03
</t>
        </r>
      </text>
    </comment>
    <comment ref="W3" authorId="1" shapeId="0">
      <text>
        <r>
          <rPr>
            <sz val="9"/>
            <color indexed="81"/>
            <rFont val="Tahoma"/>
            <family val="2"/>
          </rPr>
          <t xml:space="preserve">All codes that are 17 02 04
</t>
        </r>
      </text>
    </comment>
    <comment ref="X3" authorId="0" shapeId="0">
      <text>
        <r>
          <rPr>
            <sz val="9"/>
            <color indexed="81"/>
            <rFont val="Tahoma"/>
            <family val="2"/>
          </rPr>
          <t>All codes that start with 17 03</t>
        </r>
      </text>
    </comment>
    <comment ref="Y3" authorId="0" shapeId="0">
      <text>
        <r>
          <rPr>
            <sz val="9"/>
            <color indexed="81"/>
            <rFont val="Tahoma"/>
            <family val="2"/>
          </rPr>
          <t>All codes that start with 17 04</t>
        </r>
      </text>
    </comment>
    <comment ref="Z3" authorId="0" shapeId="0">
      <text>
        <r>
          <rPr>
            <sz val="9"/>
            <color indexed="81"/>
            <rFont val="Tahoma"/>
            <family val="2"/>
          </rPr>
          <t>All codes that start with 17 06</t>
        </r>
      </text>
    </comment>
    <comment ref="AA3" authorId="0" shapeId="0">
      <text>
        <r>
          <rPr>
            <sz val="9"/>
            <color indexed="81"/>
            <rFont val="Tahoma"/>
            <family val="2"/>
          </rPr>
          <t>All codes that start with 17 08</t>
        </r>
      </text>
    </comment>
    <comment ref="AB3" authorId="0" shapeId="0">
      <text>
        <r>
          <rPr>
            <sz val="9"/>
            <color indexed="81"/>
            <rFont val="Tahoma"/>
            <family val="2"/>
          </rPr>
          <t>All codes that start with 17 09</t>
        </r>
      </text>
    </comment>
    <comment ref="N14" authorId="0" shapeId="0">
      <text>
        <r>
          <rPr>
            <sz val="9"/>
            <color indexed="81"/>
            <rFont val="Tahoma"/>
            <family val="2"/>
          </rPr>
          <t>The total Gross Floor Area OF THE BUILDING TO BE DEMOLISHED, should be entered here, in m2.
This could be a completely different number to the GFA of the new building that would be entered in the buildings description fiche</t>
        </r>
      </text>
    </comment>
    <comment ref="R18" authorId="0" shapeId="0">
      <text>
        <r>
          <rPr>
            <sz val="9"/>
            <color indexed="81"/>
            <rFont val="Tahoma"/>
            <family val="2"/>
          </rPr>
          <t>In case the user is interested in monetizing the potential landfill cost (a cost of EUR/t can be inserted here, which should at least account for the gate fee and any landfill tax). Ideally the transportation cost could be included as well in this estimation, especially for hazardous waste, where the distance may be significant.</t>
        </r>
      </text>
    </comment>
    <comment ref="S18" authorId="0" shapeId="0">
      <text>
        <r>
          <rPr>
            <sz val="9"/>
            <color indexed="81"/>
            <rFont val="Tahoma"/>
            <family val="2"/>
          </rPr>
          <t xml:space="preserve">The hypothetical cost if all the waste fraction was to be landfilled. The user can manipulate the calculation if they only want to assume a certain percentage of the total going to landfill </t>
        </r>
      </text>
    </comment>
  </commentList>
</comments>
</file>

<file path=xl/comments3.xml><?xml version="1.0" encoding="utf-8"?>
<comments xmlns="http://schemas.openxmlformats.org/spreadsheetml/2006/main">
  <authors>
    <author>DONATELLO Shane (JRC-SEVILLA)</author>
    <author>Donate-PC</author>
  </authors>
  <commentList>
    <comment ref="A3" authorId="0" shapeId="0">
      <text>
        <r>
          <rPr>
            <sz val="9"/>
            <color indexed="81"/>
            <rFont val="Tahoma"/>
            <family val="2"/>
          </rPr>
          <t xml:space="preserve">Select from dropdown menu. </t>
        </r>
        <r>
          <rPr>
            <b/>
            <sz val="9"/>
            <color indexed="81"/>
            <rFont val="Tahoma"/>
            <family val="2"/>
          </rPr>
          <t>Options cannot be overwritten.</t>
        </r>
        <r>
          <rPr>
            <sz val="9"/>
            <color indexed="81"/>
            <rFont val="Tahoma"/>
            <family val="2"/>
          </rPr>
          <t xml:space="preserve">
</t>
        </r>
      </text>
    </comment>
    <comment ref="B3" authorId="1" shapeId="0">
      <text>
        <r>
          <rPr>
            <sz val="9"/>
            <color indexed="81"/>
            <rFont val="Tahoma"/>
            <family val="2"/>
          </rPr>
          <t xml:space="preserve">To select from one of the main construction activtites defined for the Level(s) reporting format.  These are the same main building elements defined for </t>
        </r>
        <r>
          <rPr>
            <b/>
            <sz val="9"/>
            <color indexed="81"/>
            <rFont val="Tahoma"/>
            <family val="2"/>
          </rPr>
          <t>indicator 2.1. Options can be overwritten</t>
        </r>
      </text>
    </comment>
    <comment ref="C3" authorId="1" shapeId="0">
      <text>
        <r>
          <rPr>
            <sz val="9"/>
            <color indexed="81"/>
            <rFont val="Tahoma"/>
            <family val="2"/>
          </rPr>
          <t xml:space="preserve">Select from dropdown menu </t>
        </r>
        <r>
          <rPr>
            <b/>
            <sz val="9"/>
            <color indexed="81"/>
            <rFont val="Tahoma"/>
            <family val="2"/>
          </rPr>
          <t>or overwrite if not available in list</t>
        </r>
        <r>
          <rPr>
            <sz val="9"/>
            <color indexed="81"/>
            <rFont val="Tahoma"/>
            <family val="2"/>
          </rPr>
          <t xml:space="preserve">. 
The description should be sufficient to inform what is the relevant List of Waste code to choose in Column O.  
If </t>
        </r>
        <r>
          <rPr>
            <b/>
            <sz val="9"/>
            <color indexed="81"/>
            <rFont val="Tahoma"/>
            <family val="2"/>
          </rPr>
          <t xml:space="preserve">indicator 2.1 (BoQ) </t>
        </r>
        <r>
          <rPr>
            <sz val="9"/>
            <color indexed="81"/>
            <rFont val="Tahoma"/>
            <family val="2"/>
          </rPr>
          <t>has been reported on, the same decriptions should be used.</t>
        </r>
      </text>
    </comment>
    <comment ref="D3" authorId="1" shapeId="0">
      <text>
        <r>
          <rPr>
            <sz val="9"/>
            <color indexed="81"/>
            <rFont val="Tahoma"/>
            <family val="2"/>
          </rPr>
          <t xml:space="preserve">Insert the "quantity" of each element or material that would be needed to be purchased for the different construction project stages.
Lots of different units possible that are not kg:
e.g. metres length for cables;
e.g. m2 for cladding or windows;
e.g. m3 for concrete walling.
This number should also account for predicted wastage rates and may also include a margin for unforeseen contingencies (over-ordering).
</t>
        </r>
      </text>
    </comment>
    <comment ref="E3" authorId="1" shapeId="0">
      <text>
        <r>
          <rPr>
            <sz val="9"/>
            <color indexed="81"/>
            <rFont val="Tahoma"/>
            <family val="2"/>
          </rPr>
          <t>Enter the conversion factor to change whatever unit is defined in column D into kg, e.g. kg/m cable, kg/m2, kg/m3, kg/piece.</t>
        </r>
      </text>
    </comment>
    <comment ref="F3" authorId="1" shapeId="0">
      <text>
        <r>
          <rPr>
            <b/>
            <sz val="9"/>
            <color indexed="81"/>
            <rFont val="Tahoma"/>
            <family val="2"/>
          </rPr>
          <t xml:space="preserve">May be imported from indicator 2.1 instead of filling out Columns D and E. </t>
        </r>
        <r>
          <rPr>
            <sz val="9"/>
            <color indexed="81"/>
            <rFont val="Tahoma"/>
            <family val="2"/>
          </rPr>
          <t xml:space="preserve">Otherwise, it is the manual multiplication or division of the relevant values in columns D and E, to arrive at a result in kg. </t>
        </r>
      </text>
    </comment>
    <comment ref="G3" authorId="1" shapeId="0">
      <text>
        <r>
          <rPr>
            <sz val="9"/>
            <color indexed="81"/>
            <rFont val="Tahoma"/>
            <family val="2"/>
          </rPr>
          <t>Estimations should be based on rules of thumb. 
For example, 5-10% for concrete masonry, 10-20% for bricks and 15-22.5% for plasterboard.</t>
        </r>
      </text>
    </comment>
    <comment ref="H3" authorId="0" shapeId="0">
      <text>
        <r>
          <rPr>
            <sz val="9"/>
            <color indexed="81"/>
            <rFont val="Tahoma"/>
            <family val="2"/>
          </rPr>
          <t xml:space="preserve">Estimates should be based on rules of thumb or intended spare stock that the client wants.
</t>
        </r>
      </text>
    </comment>
    <comment ref="I3" authorId="1" shapeId="0">
      <text>
        <r>
          <rPr>
            <sz val="9"/>
            <color indexed="81"/>
            <rFont val="Tahoma"/>
            <family val="2"/>
          </rPr>
          <t>The direct multiplication of columns F and G.</t>
        </r>
      </text>
    </comment>
    <comment ref="J3" authorId="0" shapeId="0">
      <text>
        <r>
          <rPr>
            <sz val="9"/>
            <color indexed="81"/>
            <rFont val="Tahoma"/>
            <family val="2"/>
          </rPr>
          <t xml:space="preserve">The direct multiplication of columns F and H.
</t>
        </r>
      </text>
    </comment>
    <comment ref="K3" authorId="0" shapeId="0">
      <text>
        <r>
          <rPr>
            <b/>
            <i/>
            <sz val="9"/>
            <color indexed="81"/>
            <rFont val="Tahoma"/>
            <family val="2"/>
          </rPr>
          <t xml:space="preserve">Optional: </t>
        </r>
        <r>
          <rPr>
            <sz val="9"/>
            <color indexed="81"/>
            <rFont val="Tahoma"/>
            <family val="2"/>
          </rPr>
          <t xml:space="preserve">May be imported directly from </t>
        </r>
        <r>
          <rPr>
            <b/>
            <sz val="9"/>
            <color indexed="81"/>
            <rFont val="Tahoma"/>
            <family val="2"/>
          </rPr>
          <t>indicator 2.1.</t>
        </r>
        <r>
          <rPr>
            <sz val="9"/>
            <color indexed="81"/>
            <rFont val="Tahoma"/>
            <family val="2"/>
          </rPr>
          <t xml:space="preserve">
Most unit prices will not be expressed as €/kg, so it will be necessary to know the unit price (e.g. €/m, €/m2, €/m3 etc.) and the kg/unit first (i.e. using the same information in the Column E conversion factor).
</t>
        </r>
      </text>
    </comment>
    <comment ref="L3" authorId="1" shapeId="0">
      <text>
        <r>
          <rPr>
            <sz val="9"/>
            <color indexed="81"/>
            <rFont val="Tahoma"/>
            <family val="2"/>
          </rPr>
          <t>The multiplication of the values in Column K and Column I</t>
        </r>
      </text>
    </comment>
    <comment ref="M3" authorId="0" shapeId="0">
      <text>
        <r>
          <rPr>
            <sz val="9"/>
            <color indexed="81"/>
            <rFont val="Tahoma"/>
            <family val="2"/>
          </rPr>
          <t xml:space="preserve">The multiplication of the values in Column K and Column J
</t>
        </r>
      </text>
    </comment>
    <comment ref="N3" authorId="1" shapeId="0">
      <text>
        <r>
          <rPr>
            <sz val="9"/>
            <color indexed="81"/>
            <rFont val="Tahoma"/>
            <family val="2"/>
          </rPr>
          <t>This will be largely determined by the List of Waste (LoW) code that is chosen (next column). Further guidance is available on the L1 worksheet.</t>
        </r>
      </text>
    </comment>
    <comment ref="O3" authorId="1" shapeId="0">
      <text>
        <r>
          <rPr>
            <sz val="9"/>
            <color indexed="81"/>
            <rFont val="Tahoma"/>
            <family val="2"/>
          </rPr>
          <t>As per Commission Decision 2014/955/EU. 
All CDW codes have been reproduced in the L1 worksheet in this excel file for ease of reference. 
If the CDW or element is composed of multiple materials that will not be separated onsite, choose one of the 17 09 XX codes.
If an element is separated into component materials onsite (e.g. a door into metal, wood and glass fractions, three entries could be made for the door elements instead of one - although be aware that this would complicate any optional attempts to estimate the costs in Columns L and M).
If WEEE arises during the project, it should be classified a the most relevant entry under sub-chapter "16 02" or "20 01".</t>
        </r>
      </text>
    </comment>
    <comment ref="P3" authorId="1" shapeId="0">
      <text>
        <r>
          <rPr>
            <sz val="9"/>
            <color indexed="81"/>
            <rFont val="Tahoma"/>
            <family val="2"/>
          </rPr>
          <t>Select the option that most closely reflects the best possible outcome for the wastes, based on their inherent properties and available technologies</t>
        </r>
      </text>
    </comment>
    <comment ref="Q3" authorId="1" shapeId="0">
      <text>
        <r>
          <rPr>
            <sz val="9"/>
            <color indexed="81"/>
            <rFont val="Tahoma"/>
            <family val="2"/>
          </rPr>
          <t>Select the option that is recommended for this particular project. 
If different from the best outcome, this could be explained in an embedded comment in the same cell.
The main reasons for differences will be available outlets in the local region or time, space or labour constraints.</t>
        </r>
      </text>
    </comment>
    <comment ref="R3" authorId="0" shapeId="0">
      <text>
        <r>
          <rPr>
            <sz val="9"/>
            <color indexed="81"/>
            <rFont val="Tahoma"/>
            <family val="2"/>
          </rPr>
          <t xml:space="preserve">Same idea as Column P, but only necessary if values have been enetered in Column H.
</t>
        </r>
      </text>
    </comment>
    <comment ref="S3" authorId="0" shapeId="0">
      <text>
        <r>
          <rPr>
            <sz val="9"/>
            <color indexed="81"/>
            <rFont val="Tahoma"/>
            <family val="2"/>
          </rPr>
          <t xml:space="preserve">Same idea as Column Q, but only necessary if values have been enetered in Column H.
</t>
        </r>
      </text>
    </comment>
    <comment ref="Z3" authorId="1" shapeId="0">
      <text>
        <r>
          <rPr>
            <sz val="9"/>
            <color indexed="81"/>
            <rFont val="Tahoma"/>
            <family val="2"/>
          </rPr>
          <t>All codes starting with 17 01</t>
        </r>
      </text>
    </comment>
    <comment ref="AA3" authorId="1" shapeId="0">
      <text>
        <r>
          <rPr>
            <sz val="9"/>
            <color indexed="81"/>
            <rFont val="Tahoma"/>
            <family val="2"/>
          </rPr>
          <t>All codes that are 17 02 01</t>
        </r>
      </text>
    </comment>
    <comment ref="AB3" authorId="0" shapeId="0">
      <text>
        <r>
          <rPr>
            <sz val="9"/>
            <color indexed="81"/>
            <rFont val="Tahoma"/>
            <family val="2"/>
          </rPr>
          <t xml:space="preserve">All codes that are 17 02 02
</t>
        </r>
      </text>
    </comment>
    <comment ref="AC3" authorId="0" shapeId="0">
      <text>
        <r>
          <rPr>
            <sz val="9"/>
            <color indexed="81"/>
            <rFont val="Tahoma"/>
            <family val="2"/>
          </rPr>
          <t xml:space="preserve">All codes that are 17 02 03
</t>
        </r>
      </text>
    </comment>
    <comment ref="AD3" authorId="0" shapeId="0">
      <text>
        <r>
          <rPr>
            <sz val="9"/>
            <color indexed="81"/>
            <rFont val="Tahoma"/>
            <family val="2"/>
          </rPr>
          <t xml:space="preserve">All codes that are 17 02 04
</t>
        </r>
      </text>
    </comment>
    <comment ref="AE3" authorId="1" shapeId="0">
      <text>
        <r>
          <rPr>
            <sz val="9"/>
            <color indexed="81"/>
            <rFont val="Tahoma"/>
            <family val="2"/>
          </rPr>
          <t>All codes that start with 17 03</t>
        </r>
      </text>
    </comment>
    <comment ref="AF3" authorId="1" shapeId="0">
      <text>
        <r>
          <rPr>
            <sz val="9"/>
            <color indexed="81"/>
            <rFont val="Tahoma"/>
            <family val="2"/>
          </rPr>
          <t>All codes that start with 17 04</t>
        </r>
      </text>
    </comment>
    <comment ref="AG3" authorId="1" shapeId="0">
      <text>
        <r>
          <rPr>
            <sz val="9"/>
            <color indexed="81"/>
            <rFont val="Tahoma"/>
            <family val="2"/>
          </rPr>
          <t>All codes that start with 17 06</t>
        </r>
      </text>
    </comment>
    <comment ref="AH3" authorId="1" shapeId="0">
      <text>
        <r>
          <rPr>
            <sz val="9"/>
            <color indexed="81"/>
            <rFont val="Tahoma"/>
            <family val="2"/>
          </rPr>
          <t>All codes that start with 17 08</t>
        </r>
      </text>
    </comment>
    <comment ref="AI3" authorId="1" shapeId="0">
      <text>
        <r>
          <rPr>
            <sz val="9"/>
            <color indexed="81"/>
            <rFont val="Tahoma"/>
            <family val="2"/>
          </rPr>
          <t>All codes that start with 17 09</t>
        </r>
      </text>
    </comment>
    <comment ref="U13" authorId="1" shapeId="0">
      <text>
        <r>
          <rPr>
            <sz val="9"/>
            <color indexed="81"/>
            <rFont val="Tahoma"/>
            <family val="2"/>
          </rPr>
          <t>The same total Gross Floor Area that is used in the buidling description fiche should be entered here, in m2</t>
        </r>
      </text>
    </comment>
    <comment ref="Y17" authorId="1" shapeId="0">
      <text>
        <r>
          <rPr>
            <b/>
            <sz val="9"/>
            <color indexed="81"/>
            <rFont val="Tahoma"/>
            <family val="2"/>
          </rPr>
          <t>Fictive costs inserted, please overwrite with real estimates.</t>
        </r>
        <r>
          <rPr>
            <sz val="9"/>
            <color indexed="81"/>
            <rFont val="Tahoma"/>
            <family val="2"/>
          </rPr>
          <t xml:space="preserve"> In case the user is interested in monetizing the potential landfill cost (a cost of EUR/t can be inserted here, which should at least account for the gate fee and any landfill tax). Ideally the transportation cost could be included as well in this estimation, especially for hazardous waste, where the distance may be significant.</t>
        </r>
      </text>
    </comment>
    <comment ref="Z17" authorId="1" shapeId="0">
      <text>
        <r>
          <rPr>
            <sz val="9"/>
            <color indexed="81"/>
            <rFont val="Tahoma"/>
            <family val="2"/>
          </rPr>
          <t xml:space="preserve">The hypothetical cost if all the waste fraction was to be landfilled. The user can manipulate the calculation if they only want to assume a certain percentage of the total going to landfill </t>
        </r>
      </text>
    </comment>
  </commentList>
</comments>
</file>

<file path=xl/comments4.xml><?xml version="1.0" encoding="utf-8"?>
<comments xmlns="http://schemas.openxmlformats.org/spreadsheetml/2006/main">
  <authors>
    <author>Donate-PC</author>
    <author>DONATELLO Shane (JRC-SEVILLA)</author>
  </authors>
  <commentList>
    <comment ref="A3" authorId="0" shapeId="0">
      <text>
        <r>
          <rPr>
            <sz val="9"/>
            <color indexed="81"/>
            <rFont val="Tahoma"/>
            <family val="2"/>
          </rPr>
          <t xml:space="preserve">To select from one of the dropdown options (demolition activities for dmeolition projects or construction activities for construction projects) defined for the Level(s) reporting format. </t>
        </r>
        <r>
          <rPr>
            <b/>
            <sz val="9"/>
            <color indexed="81"/>
            <rFont val="Tahoma"/>
            <family val="2"/>
          </rPr>
          <t>Options can be overwritten if needed.</t>
        </r>
      </text>
    </comment>
    <comment ref="B3" authorId="0" shapeId="0">
      <text>
        <r>
          <rPr>
            <sz val="9"/>
            <color indexed="81"/>
            <rFont val="Tahoma"/>
            <family val="2"/>
          </rPr>
          <t xml:space="preserve">Select from dropdown menu </t>
        </r>
        <r>
          <rPr>
            <b/>
            <sz val="9"/>
            <color indexed="81"/>
            <rFont val="Tahoma"/>
            <family val="2"/>
          </rPr>
          <t>or overwrite if necessary</t>
        </r>
        <r>
          <rPr>
            <sz val="9"/>
            <color indexed="81"/>
            <rFont val="Tahoma"/>
            <family val="2"/>
          </rPr>
          <t xml:space="preserve"> (e.g. mixtures, WEEE etc.).  If mixtures are relevant, try to describe the main wastes present.</t>
        </r>
      </text>
    </comment>
    <comment ref="C3" authorId="0" shapeId="0">
      <text>
        <r>
          <rPr>
            <sz val="9"/>
            <color indexed="81"/>
            <rFont val="Tahoma"/>
            <family val="2"/>
          </rPr>
          <t>This will be largely determined by the List of Waste (LoW) code that is chosen (next column). Further guidance is available on the Level 1 worksheet.</t>
        </r>
      </text>
    </comment>
    <comment ref="D3" authorId="0" shapeId="0">
      <text>
        <r>
          <rPr>
            <sz val="9"/>
            <color indexed="81"/>
            <rFont val="Tahoma"/>
            <family val="2"/>
          </rPr>
          <t>As per Commission Decision 2014/955/EU. 
All CDW codes have been reproduced in the Level 1 worksheet in this excel file for ease of reference. 
If the CDW is mixed, choose code 17 09 03 if it contains dangerous substances or code 17 09 04 if it does not.
If WEEE arises during the project, it should be classified a the most relevant entry under sub-chapter 16 02: wastes from electrical and electronic equipment</t>
        </r>
      </text>
    </comment>
    <comment ref="E3" authorId="0" shapeId="0">
      <text>
        <r>
          <rPr>
            <sz val="9"/>
            <color indexed="81"/>
            <rFont val="Tahoma"/>
            <family val="2"/>
          </rPr>
          <t>Only if not weighed prior to disposal, recycling or reuse, the quantity should be estimated by considering another unit 
e.g. metres length for cables;
e.g. m2 for cladding or windows;
e.g. m3 for concrete walling.</t>
        </r>
      </text>
    </comment>
    <comment ref="F3" authorId="0" shapeId="0">
      <text>
        <r>
          <rPr>
            <sz val="9"/>
            <color indexed="81"/>
            <rFont val="Tahoma"/>
            <family val="2"/>
          </rPr>
          <t>Again, only needs to be filled out if the CDW was not weighed before disposal, recycling, recovery or reuse. 
Define/assume the factor needed to convert the units in column E into kg.
Note that when converting m2 to kg and only the desnity in kg/m3 is known, an average thickness will need to be assumed as well.</t>
        </r>
      </text>
    </comment>
    <comment ref="G3" authorId="0" shapeId="0">
      <text>
        <r>
          <rPr>
            <sz val="9"/>
            <color indexed="81"/>
            <rFont val="Tahoma"/>
            <family val="2"/>
          </rPr>
          <t>The direct measurement of the weight (e.g. via weighbridge) or the manual multiplication of the numbers in columns E and F for the same row.</t>
        </r>
      </text>
    </comment>
    <comment ref="H3" authorId="0" shapeId="0">
      <text>
        <r>
          <rPr>
            <sz val="9"/>
            <color indexed="81"/>
            <rFont val="Tahoma"/>
            <family val="2"/>
          </rPr>
          <t>Whenever a waste/material is processed onsite or shipped offsite for reuse, recycling, recovery or disposal, the date and, if relevant, the ID/signature, should be included here.
Shipment for temporary storage in stockpiling locations should not be considered here due to the possibility of double counting, but shipment from the stockpiling location to further processing or disposal should be included</t>
        </r>
      </text>
    </comment>
    <comment ref="I3" authorId="0" shapeId="0">
      <text>
        <r>
          <rPr>
            <sz val="9"/>
            <color indexed="81"/>
            <rFont val="Tahoma"/>
            <family val="2"/>
          </rPr>
          <t>Select the option that is recommended for this particular project. 
If different from the highest possible outlet, this could be explained in the notes for the final column or added to the specific cell as an inserted comment in the excel file.
The main reasons for differences will be available outlets in the local region or time, space or labour constraints.</t>
        </r>
      </text>
    </comment>
    <comment ref="J3" authorId="0" shapeId="0">
      <text>
        <r>
          <rPr>
            <sz val="9"/>
            <color indexed="81"/>
            <rFont val="Tahoma"/>
            <family val="2"/>
          </rPr>
          <t>Additional information here could include the name of the company and address to where the shipment was taken. Any issues with the shipment or technical/aethestic requirements set by the recipient of the shipment could also be mentioned if relevant.
Text is not wrapped to avoid rows becoming too thick</t>
        </r>
      </text>
    </comment>
    <comment ref="P3" authorId="0" shapeId="0">
      <text>
        <r>
          <rPr>
            <sz val="9"/>
            <color indexed="81"/>
            <rFont val="Tahoma"/>
            <family val="2"/>
          </rPr>
          <t>All codes starting with 17 01</t>
        </r>
      </text>
    </comment>
    <comment ref="Q3" authorId="0" shapeId="0">
      <text>
        <r>
          <rPr>
            <sz val="9"/>
            <color indexed="81"/>
            <rFont val="Tahoma"/>
            <family val="2"/>
          </rPr>
          <t>All codes that are 17 02 01</t>
        </r>
      </text>
    </comment>
    <comment ref="R3" authorId="1" shapeId="0">
      <text>
        <r>
          <rPr>
            <sz val="9"/>
            <color indexed="81"/>
            <rFont val="Tahoma"/>
            <family val="2"/>
          </rPr>
          <t xml:space="preserve">All codes that are 17 02 02
</t>
        </r>
      </text>
    </comment>
    <comment ref="S3" authorId="1" shapeId="0">
      <text>
        <r>
          <rPr>
            <sz val="9"/>
            <color indexed="81"/>
            <rFont val="Tahoma"/>
            <family val="2"/>
          </rPr>
          <t xml:space="preserve">All codes that are 17 02 03
</t>
        </r>
      </text>
    </comment>
    <comment ref="T3" authorId="1" shapeId="0">
      <text>
        <r>
          <rPr>
            <sz val="9"/>
            <color indexed="81"/>
            <rFont val="Tahoma"/>
            <family val="2"/>
          </rPr>
          <t xml:space="preserve">All codes that are 17 02 04
</t>
        </r>
      </text>
    </comment>
    <comment ref="U3" authorId="0" shapeId="0">
      <text>
        <r>
          <rPr>
            <sz val="9"/>
            <color indexed="81"/>
            <rFont val="Tahoma"/>
            <family val="2"/>
          </rPr>
          <t>All codes that start with 17 03</t>
        </r>
      </text>
    </comment>
    <comment ref="V3" authorId="0" shapeId="0">
      <text>
        <r>
          <rPr>
            <sz val="9"/>
            <color indexed="81"/>
            <rFont val="Tahoma"/>
            <family val="2"/>
          </rPr>
          <t>All codes that start with 17 04</t>
        </r>
      </text>
    </comment>
    <comment ref="W3" authorId="0" shapeId="0">
      <text>
        <r>
          <rPr>
            <sz val="9"/>
            <color indexed="81"/>
            <rFont val="Tahoma"/>
            <family val="2"/>
          </rPr>
          <t>All codes that start with 17 06</t>
        </r>
      </text>
    </comment>
    <comment ref="X3" authorId="0" shapeId="0">
      <text>
        <r>
          <rPr>
            <sz val="9"/>
            <color indexed="81"/>
            <rFont val="Tahoma"/>
            <family val="2"/>
          </rPr>
          <t>All codes that start with 17 08</t>
        </r>
      </text>
    </comment>
    <comment ref="Y3" authorId="0" shapeId="0">
      <text>
        <r>
          <rPr>
            <sz val="9"/>
            <color indexed="81"/>
            <rFont val="Tahoma"/>
            <family val="2"/>
          </rPr>
          <t>All codes that start with 17 09</t>
        </r>
      </text>
    </comment>
    <comment ref="L13" authorId="0" shapeId="0">
      <text>
        <r>
          <rPr>
            <sz val="9"/>
            <color indexed="81"/>
            <rFont val="Tahoma"/>
            <family val="2"/>
          </rPr>
          <t>The same total Gross Floor Area that is used in the buidling description fiche should be entered here, in m2</t>
        </r>
      </text>
    </comment>
    <comment ref="O17" authorId="0" shapeId="0">
      <text>
        <r>
          <rPr>
            <sz val="9"/>
            <color indexed="81"/>
            <rFont val="Tahoma"/>
            <family val="2"/>
          </rPr>
          <t>In case the user is interested in monetizing the potential landfill cost (a cost of EUR/t can be inserted here, which should at least account for the gate fee and any landfill tax). Ideally the transportation cost could be included as well in this estimation, especially for hazardous waste, where the distance may be significant.</t>
        </r>
      </text>
    </comment>
    <comment ref="P17" authorId="0" shapeId="0">
      <text>
        <r>
          <rPr>
            <sz val="9"/>
            <color indexed="81"/>
            <rFont val="Tahoma"/>
            <family val="2"/>
          </rPr>
          <t xml:space="preserve">The hypothetical cost if all the waste fraction was to be landfilled. The user can manipulate the calculation if they only want to assume a certain percentage of the total going to landfill </t>
        </r>
      </text>
    </comment>
  </commentList>
</comments>
</file>

<file path=xl/sharedStrings.xml><?xml version="1.0" encoding="utf-8"?>
<sst xmlns="http://schemas.openxmlformats.org/spreadsheetml/2006/main" count="1140" uniqueCount="466">
  <si>
    <t>Hazardous</t>
  </si>
  <si>
    <t>Non-hazardous</t>
  </si>
  <si>
    <t>hazardous</t>
  </si>
  <si>
    <t>Recycling</t>
  </si>
  <si>
    <t>17 01 01</t>
  </si>
  <si>
    <t>17 01 02</t>
  </si>
  <si>
    <t>17 01 03</t>
  </si>
  <si>
    <t>17 01 07</t>
  </si>
  <si>
    <t>17 01: Concrete, bricks, tiles and ceramics</t>
  </si>
  <si>
    <t>17 02: Wood, glass and plastic</t>
  </si>
  <si>
    <t>17 02 01</t>
  </si>
  <si>
    <t>17 02 02</t>
  </si>
  <si>
    <t>17 02 03</t>
  </si>
  <si>
    <t>17 03: Bituminous mixtures, coal tar and tarred products</t>
  </si>
  <si>
    <t>17 03 02</t>
  </si>
  <si>
    <t>17 04: Metals (including their alloys)</t>
  </si>
  <si>
    <t>17 04 01</t>
  </si>
  <si>
    <t>17 04 02</t>
  </si>
  <si>
    <t>17 04 03</t>
  </si>
  <si>
    <t>17 04 04</t>
  </si>
  <si>
    <t>17 04 05</t>
  </si>
  <si>
    <t>17 04 06</t>
  </si>
  <si>
    <t>17 04 07</t>
  </si>
  <si>
    <t>17 04 11</t>
  </si>
  <si>
    <t>17 06 04</t>
  </si>
  <si>
    <t>17 08: Gypsum-based construction material</t>
  </si>
  <si>
    <t>17 08 02</t>
  </si>
  <si>
    <t>17 09: Other construction and demolition wastes</t>
  </si>
  <si>
    <t>17 09 04</t>
  </si>
  <si>
    <t>concrete</t>
  </si>
  <si>
    <t>bricks</t>
  </si>
  <si>
    <t>tiles and ceramics</t>
  </si>
  <si>
    <t>wood</t>
  </si>
  <si>
    <t>glass</t>
  </si>
  <si>
    <t>plastic</t>
  </si>
  <si>
    <t>bituminous mixtures containing coal tar</t>
  </si>
  <si>
    <t>bituminous mixtures other than those mentioned in 17 03 01</t>
  </si>
  <si>
    <t>coal tar and tarred products</t>
  </si>
  <si>
    <t>copper, bronze, brass</t>
  </si>
  <si>
    <t>aluminium</t>
  </si>
  <si>
    <t>lead</t>
  </si>
  <si>
    <t>zinc</t>
  </si>
  <si>
    <t>iron and steel</t>
  </si>
  <si>
    <t>tin</t>
  </si>
  <si>
    <t>mixed metals</t>
  </si>
  <si>
    <t>metal waste contaminated with dangerous substances</t>
  </si>
  <si>
    <t>cables containing oil, coal tar and other dangerous substances</t>
  </si>
  <si>
    <t>cables other than those mentioned in 17 04 10</t>
  </si>
  <si>
    <t>insulation materials containing asbestos</t>
  </si>
  <si>
    <r>
      <t xml:space="preserve">insulation materials other than those mentioned in 17 06 01 and </t>
    </r>
    <r>
      <rPr>
        <sz val="10"/>
        <color rgb="FFFF0000"/>
        <rFont val="Calibri"/>
        <family val="2"/>
        <scheme val="minor"/>
      </rPr>
      <t>17 06 02</t>
    </r>
  </si>
  <si>
    <t>construction materials containing asbestos</t>
  </si>
  <si>
    <t>17 05 04</t>
  </si>
  <si>
    <t>17 05 03*</t>
  </si>
  <si>
    <t>17 05 05*</t>
  </si>
  <si>
    <t>17 05 06</t>
  </si>
  <si>
    <t>17 05 07*</t>
  </si>
  <si>
    <t>17 05 08</t>
  </si>
  <si>
    <t>soil and stones containing hazardous substances</t>
  </si>
  <si>
    <t>soil and stones other than those mentioned in 17 05 03</t>
  </si>
  <si>
    <t>dredging spoil containing hazardous substances</t>
  </si>
  <si>
    <t>dredging spoil other than those mentioned in 17 05 05</t>
  </si>
  <si>
    <t>track ballast containing hazardous substances</t>
  </si>
  <si>
    <t>track ballast other than those mentioned in 17 05 07</t>
  </si>
  <si>
    <t>17 01 06*</t>
  </si>
  <si>
    <t>17 02 04*</t>
  </si>
  <si>
    <t>17 03 01*</t>
  </si>
  <si>
    <t>17 03 03*</t>
  </si>
  <si>
    <t>17 04 09*</t>
  </si>
  <si>
    <t>17 04 10*</t>
  </si>
  <si>
    <t>17 06 01*</t>
  </si>
  <si>
    <t>17 06 03*</t>
  </si>
  <si>
    <t>17 06 05*</t>
  </si>
  <si>
    <t>17 08 01*</t>
  </si>
  <si>
    <t>17 09 01*</t>
  </si>
  <si>
    <t>17 09 02*</t>
  </si>
  <si>
    <t>17 09 03*</t>
  </si>
  <si>
    <t>Deconstruction</t>
  </si>
  <si>
    <t>Recovery</t>
  </si>
  <si>
    <t>Reuse</t>
  </si>
  <si>
    <t>Stripping</t>
  </si>
  <si>
    <t>Material identification</t>
  </si>
  <si>
    <t>Conversion factor assumed</t>
  </si>
  <si>
    <t>Pictures and other notes</t>
  </si>
  <si>
    <t>List of waste code</t>
  </si>
  <si>
    <t>Location(s) of material in building / building site</t>
  </si>
  <si>
    <t>Nature of operation</t>
  </si>
  <si>
    <t>Estimated quantity (define unit)</t>
  </si>
  <si>
    <t>Demolition</t>
  </si>
  <si>
    <t>Concrete</t>
  </si>
  <si>
    <t>Bricks</t>
  </si>
  <si>
    <t>Tiles</t>
  </si>
  <si>
    <t>Ceramics</t>
  </si>
  <si>
    <t>Glass</t>
  </si>
  <si>
    <t>Plastic</t>
  </si>
  <si>
    <t>Bituminous mixtures</t>
  </si>
  <si>
    <t>Copper/bronze/brass</t>
  </si>
  <si>
    <t>Aluminium</t>
  </si>
  <si>
    <t>Iron/steel</t>
  </si>
  <si>
    <t>Other metal</t>
  </si>
  <si>
    <t>Wood</t>
  </si>
  <si>
    <t>Cables</t>
  </si>
  <si>
    <t>Dredging spoil</t>
  </si>
  <si>
    <t>Track ballast</t>
  </si>
  <si>
    <t>Insulation materials</t>
  </si>
  <si>
    <t>Asbestos containing materials</t>
  </si>
  <si>
    <t>Gypsum-based materials</t>
  </si>
  <si>
    <t>Inert</t>
  </si>
  <si>
    <t>Inert waste landfill</t>
  </si>
  <si>
    <t>Non-hazardous waste landfill</t>
  </si>
  <si>
    <t>Hazardous waste landfill</t>
  </si>
  <si>
    <t>Stable non-reactive hazadous waste landfill</t>
  </si>
  <si>
    <t>WEEE facility</t>
  </si>
  <si>
    <t>Soil and stones</t>
  </si>
  <si>
    <t>Nature of waste</t>
  </si>
  <si>
    <t>500m3</t>
  </si>
  <si>
    <t>Mass (t)</t>
  </si>
  <si>
    <t>Lamps that may contain mercury</t>
  </si>
  <si>
    <t>Throughout building</t>
  </si>
  <si>
    <t>65 lamps</t>
  </si>
  <si>
    <t>WEEE</t>
  </si>
  <si>
    <t>450m</t>
  </si>
  <si>
    <t>1250m2</t>
  </si>
  <si>
    <t>Fraction</t>
  </si>
  <si>
    <t>inert</t>
  </si>
  <si>
    <t>MNH</t>
  </si>
  <si>
    <t>MH</t>
  </si>
  <si>
    <t>MHN</t>
  </si>
  <si>
    <t>AH</t>
  </si>
  <si>
    <r>
      <t>MNH</t>
    </r>
    <r>
      <rPr>
        <vertAlign val="superscript"/>
        <sz val="10"/>
        <color theme="8"/>
        <rFont val="Calibri"/>
        <family val="2"/>
        <scheme val="minor"/>
      </rPr>
      <t>A</t>
    </r>
  </si>
  <si>
    <r>
      <t>MH</t>
    </r>
    <r>
      <rPr>
        <vertAlign val="superscript"/>
        <sz val="10"/>
        <color theme="8"/>
        <rFont val="Calibri"/>
        <family val="2"/>
        <scheme val="minor"/>
      </rPr>
      <t>A</t>
    </r>
  </si>
  <si>
    <r>
      <t>AH</t>
    </r>
    <r>
      <rPr>
        <vertAlign val="superscript"/>
        <sz val="10"/>
        <color theme="8"/>
        <rFont val="Calibri"/>
        <family val="2"/>
        <scheme val="minor"/>
      </rPr>
      <t>B</t>
    </r>
  </si>
  <si>
    <r>
      <rPr>
        <b/>
        <sz val="10"/>
        <color theme="1"/>
        <rFont val="Calibri"/>
        <family val="2"/>
        <scheme val="minor"/>
      </rPr>
      <t xml:space="preserve">absolute non-hazardous (ANH) entries: </t>
    </r>
    <r>
      <rPr>
        <sz val="10"/>
        <color theme="1"/>
        <rFont val="Calibri"/>
        <family val="2"/>
        <scheme val="minor"/>
      </rPr>
      <t xml:space="preserve">classified as non-hazardous without further assessment, although for the purposes of Level(s) reporting, a further consideration should be given to determine if the waste is </t>
    </r>
    <r>
      <rPr>
        <b/>
        <sz val="10"/>
        <color theme="1"/>
        <rFont val="Calibri"/>
        <family val="2"/>
        <scheme val="minor"/>
      </rPr>
      <t>inert</t>
    </r>
    <r>
      <rPr>
        <sz val="10"/>
        <color theme="1"/>
        <rFont val="Calibri"/>
        <family val="2"/>
        <scheme val="minor"/>
      </rPr>
      <t xml:space="preserve"> (i.e. will not dissolve, burn or otherwise react physically or chemically, biodegrade or adversely affect other matter with which it comes into contact in any way likely to give rise to environmental pollution or harm human health</t>
    </r>
  </si>
  <si>
    <r>
      <rPr>
        <b/>
        <sz val="10"/>
        <color theme="1"/>
        <rFont val="Calibri"/>
        <family val="2"/>
        <scheme val="minor"/>
      </rPr>
      <t>mirror entries:</t>
    </r>
    <r>
      <rPr>
        <sz val="10"/>
        <color theme="1"/>
        <rFont val="Calibri"/>
        <family val="2"/>
        <scheme val="minor"/>
      </rPr>
      <t xml:space="preserve"> further assessment is necessary before deciding if the waste is to be </t>
    </r>
    <r>
      <rPr>
        <b/>
        <sz val="10"/>
        <color theme="1"/>
        <rFont val="Calibri"/>
        <family val="2"/>
        <scheme val="minor"/>
      </rPr>
      <t>mirror non-hazardous (MNH)</t>
    </r>
    <r>
      <rPr>
        <sz val="10"/>
        <color theme="1"/>
        <rFont val="Calibri"/>
        <family val="2"/>
        <scheme val="minor"/>
      </rPr>
      <t xml:space="preserve"> or </t>
    </r>
    <r>
      <rPr>
        <b/>
        <sz val="10"/>
        <color theme="1"/>
        <rFont val="Calibri"/>
        <family val="2"/>
        <scheme val="minor"/>
      </rPr>
      <t>mirror hazardous* (MH*)</t>
    </r>
    <r>
      <rPr>
        <sz val="10"/>
        <color theme="1"/>
        <rFont val="Calibri"/>
        <family val="2"/>
        <scheme val="minor"/>
      </rPr>
      <t xml:space="preserve">. The procedure is outlined below, based on section 3.2 of Commission Notice 2018/C 124/01:  </t>
    </r>
  </si>
  <si>
    <r>
      <rPr>
        <b/>
        <sz val="10"/>
        <color theme="1"/>
        <rFont val="Calibri"/>
        <family val="2"/>
        <scheme val="minor"/>
      </rPr>
      <t>absolute hazardous* (AH*) entries</t>
    </r>
    <r>
      <rPr>
        <sz val="10"/>
        <color theme="1"/>
        <rFont val="Calibri"/>
        <family val="2"/>
        <scheme val="minor"/>
      </rPr>
      <t xml:space="preserve">: classified as hazardous without further assessment, </t>
    </r>
  </si>
  <si>
    <t>Annotated</t>
  </si>
  <si>
    <t>Assumed</t>
  </si>
  <si>
    <t>mix of conc., brick, tile&amp;ceramic other than those mentioned in 17 01 06</t>
  </si>
  <si>
    <t>mix. or separate fractions of concrete, brick, tile&amp;ceramic cont. dang. subs</t>
  </si>
  <si>
    <t>glass, plastic &amp; wood containing or contaminated with dang. substances</t>
  </si>
  <si>
    <t>17 05: Soil (incl. exc. soil from cont. sites), stones&amp;dredgings</t>
  </si>
  <si>
    <t>17 06: Insulation materials and asbestos-cont. const. materials</t>
  </si>
  <si>
    <t>other insulation materials consisting of/containing dangerous substances</t>
  </si>
  <si>
    <t>non-haz</t>
  </si>
  <si>
    <t>mixed CDW other than those mentioned in 17 09 01, 17 09 02 &amp; 17 09 03</t>
  </si>
  <si>
    <t>CDW containing mercury</t>
  </si>
  <si>
    <t>other CDW (including mixed wastes) containing dangerous substances</t>
  </si>
  <si>
    <t>CDW cont. PCB (e.g sealants, resin-based flooring, sealed glazing units or capacitors)</t>
  </si>
  <si>
    <t>gypsum-based const. materials contaminated with dangerous substances</t>
  </si>
  <si>
    <t>gypsum-based const. materials other than those mentioned in 17 06 01</t>
  </si>
  <si>
    <t>Decontamination</t>
  </si>
  <si>
    <t>Precautions to take</t>
  </si>
  <si>
    <t>Electrical conduits</t>
  </si>
  <si>
    <t>Estimated quantity (kg)</t>
  </si>
  <si>
    <t>0,75 kg/lamp</t>
  </si>
  <si>
    <t>0,05 kg/m</t>
  </si>
  <si>
    <t>2400 kg/m3</t>
  </si>
  <si>
    <t>Energy</t>
  </si>
  <si>
    <t>Disposal</t>
  </si>
  <si>
    <t>Concrete, brick, tile, ceramic</t>
  </si>
  <si>
    <t>Metals</t>
  </si>
  <si>
    <t>Gypsum</t>
  </si>
  <si>
    <t>Mixed</t>
  </si>
  <si>
    <t>Mass (kg)</t>
  </si>
  <si>
    <t>Waste to energy plant</t>
  </si>
  <si>
    <t>Incineration plant</t>
  </si>
  <si>
    <t>Total (kg)</t>
  </si>
  <si>
    <t>Normalised DW (kg/m2)</t>
  </si>
  <si>
    <t>Building GFA (m2)</t>
  </si>
  <si>
    <t>Material (backfill)</t>
  </si>
  <si>
    <t>1000m2</t>
  </si>
  <si>
    <t>Sum of sub-chapters</t>
  </si>
  <si>
    <t>Specific sub-chapters of CDW to be reported on</t>
  </si>
  <si>
    <t>Sub-chapter 16 02 of the European List of Waste (Commission Decision 2014/955/EU) with annotated (ANH, MNH, MH* and AH*) and default assumed waste classes (inert, non-haz or haz.) for the purposes of Level(s) reporting</t>
  </si>
  <si>
    <t>Chapter 17 of the European List of Waste (Commission Decision 2014/955/EU) with annotated (ANH, MNH, MH* and AH*) and default assumed waste classes (inert, non-haz or haz.) for the purposes of Level(s) reporting</t>
  </si>
  <si>
    <t>16 02: Wastes from electrical and electronic equipment</t>
  </si>
  <si>
    <t>16 02 09*</t>
  </si>
  <si>
    <t>transformers and capacitors containing PCBs</t>
  </si>
  <si>
    <r>
      <t>MNH</t>
    </r>
    <r>
      <rPr>
        <vertAlign val="superscript"/>
        <sz val="10"/>
        <color theme="8"/>
        <rFont val="Calibri"/>
        <family val="2"/>
        <scheme val="minor"/>
      </rPr>
      <t>B</t>
    </r>
  </si>
  <si>
    <r>
      <t>MH</t>
    </r>
    <r>
      <rPr>
        <vertAlign val="superscript"/>
        <sz val="10"/>
        <color theme="8"/>
        <rFont val="Calibri"/>
        <family val="2"/>
        <scheme val="minor"/>
      </rPr>
      <t>B</t>
    </r>
  </si>
  <si>
    <t>16 02 10*</t>
  </si>
  <si>
    <t>discarded equipment with PCBs other than those in 16 02 09</t>
  </si>
  <si>
    <t>16 02 11*</t>
  </si>
  <si>
    <t>discarded equipment containing chlorofluorocarbons, HCFC, HFC</t>
  </si>
  <si>
    <t>16 02 12*</t>
  </si>
  <si>
    <t>discarded equipment containing free asbestos</t>
  </si>
  <si>
    <t>16 02 13*</t>
  </si>
  <si>
    <t>16 02 14</t>
  </si>
  <si>
    <t>16 02 15*</t>
  </si>
  <si>
    <t>16 02 16</t>
  </si>
  <si>
    <t>hazardous components removed from discarded equipment</t>
  </si>
  <si>
    <t>components removed from discarded equip. other than those in 16 02 15</t>
  </si>
  <si>
    <t>discarded equipment other than those mentioned in 16 02 09 to 16 02 13</t>
  </si>
  <si>
    <t>discarded equip. with haz. components other than 16 02 09 to 16 02 12</t>
  </si>
  <si>
    <t>Chapter 20 of the European LoW: muicipal wastes: with annotated (ANH, MNH, MH* and AH*) and default assumed waste classes (inert, non-haz or haz.) for the purposes of Level(s) reporting</t>
  </si>
  <si>
    <t>20 01 separately collected fractions</t>
  </si>
  <si>
    <t>20 01  21*</t>
  </si>
  <si>
    <t>fluorescent tubes and other mercury containing waste</t>
  </si>
  <si>
    <t>20 01 23*</t>
  </si>
  <si>
    <t>20 01 35*</t>
  </si>
  <si>
    <t>20 01 36</t>
  </si>
  <si>
    <t>discarded equipment containing chlorofluorocarbons</t>
  </si>
  <si>
    <t>discarded EEE other than those in 20 01 21 &amp; 20 01 23 cont. Haz components</t>
  </si>
  <si>
    <t>discarded EEE other than those in 20 01 21, 20 01 23 &amp; 20 01 36</t>
  </si>
  <si>
    <r>
      <t>AH</t>
    </r>
    <r>
      <rPr>
        <vertAlign val="superscript"/>
        <sz val="10"/>
        <color theme="8"/>
        <rFont val="Calibri"/>
        <family val="2"/>
        <scheme val="minor"/>
      </rPr>
      <t>A</t>
    </r>
  </si>
  <si>
    <t>Total generated</t>
  </si>
  <si>
    <t>Reused/refurbished</t>
  </si>
  <si>
    <t>Sent to WEEE facility</t>
  </si>
  <si>
    <t>Of which hazardous</t>
  </si>
  <si>
    <t>Of which non-haz</t>
  </si>
  <si>
    <t>Total kept onsite</t>
  </si>
  <si>
    <t>Nature of DW</t>
  </si>
  <si>
    <t>Non haz</t>
  </si>
  <si>
    <t>Landfill unit cost €/t</t>
  </si>
  <si>
    <t>Total landfill cost (€)</t>
  </si>
  <si>
    <t xml:space="preserve">Total  </t>
  </si>
  <si>
    <t>16 02 16*</t>
  </si>
  <si>
    <t>20 01 21*</t>
  </si>
  <si>
    <t>Top 30cm of soil</t>
  </si>
  <si>
    <t>150m2</t>
  </si>
  <si>
    <t>1100 kg/m3</t>
  </si>
  <si>
    <t>Offsite recycling of pure stream(s)</t>
  </si>
  <si>
    <t>Onsite recovery as backfill/ landscaping</t>
  </si>
  <si>
    <t>Offsite recovery as backfill/ landscaping</t>
  </si>
  <si>
    <t>WEEE reuse/ refurbishment</t>
  </si>
  <si>
    <t>Area cordened off. Recovery would involve soil washing</t>
  </si>
  <si>
    <t>Doors</t>
  </si>
  <si>
    <t>Entry point to most offices</t>
  </si>
  <si>
    <t>50 doors</t>
  </si>
  <si>
    <t>20 kg/door</t>
  </si>
  <si>
    <t>Roof tiles</t>
  </si>
  <si>
    <t>20 kg/m2</t>
  </si>
  <si>
    <t>1400 kg/m3</t>
  </si>
  <si>
    <t>800m2</t>
  </si>
  <si>
    <t>2cm layer under roof</t>
  </si>
  <si>
    <t>Follow asbestos protocol</t>
  </si>
  <si>
    <r>
      <t>Insert more rows if needed (</t>
    </r>
    <r>
      <rPr>
        <b/>
        <i/>
        <sz val="11"/>
        <color rgb="FFFF0000"/>
        <rFont val="Calibri"/>
        <family val="2"/>
        <scheme val="minor"/>
      </rPr>
      <t>a non-exhaustive example is provided below, which should be deleted before filling out</t>
    </r>
    <r>
      <rPr>
        <b/>
        <sz val="11"/>
        <color theme="1"/>
        <rFont val="Calibri"/>
        <family val="2"/>
        <scheme val="minor"/>
      </rPr>
      <t>):</t>
    </r>
  </si>
  <si>
    <t>Oak flooring on top floor</t>
  </si>
  <si>
    <t>Floor slabs</t>
  </si>
  <si>
    <t>2500m2, 10cm thick</t>
  </si>
  <si>
    <t>Electrical cables</t>
  </si>
  <si>
    <t>DW share</t>
  </si>
  <si>
    <t>Haz</t>
  </si>
  <si>
    <t>Site clearing</t>
  </si>
  <si>
    <t>Earthworks</t>
  </si>
  <si>
    <t>Structure</t>
  </si>
  <si>
    <t>Estimated CW (kg)</t>
  </si>
  <si>
    <t>BoQ (number of units)</t>
  </si>
  <si>
    <t>BoQ (kg)</t>
  </si>
  <si>
    <t>Nature of CW</t>
  </si>
  <si>
    <r>
      <t>Insert more rows if needed (</t>
    </r>
    <r>
      <rPr>
        <b/>
        <i/>
        <sz val="11"/>
        <color rgb="FFFF0000"/>
        <rFont val="Calibri"/>
        <family val="2"/>
        <scheme val="minor"/>
      </rPr>
      <t>a non-exhaustive fictive example is provided below, which should be deleted before filling out</t>
    </r>
    <r>
      <rPr>
        <b/>
        <sz val="11"/>
        <color theme="1"/>
        <rFont val="Calibri"/>
        <family val="2"/>
        <scheme val="minor"/>
      </rPr>
      <t>):</t>
    </r>
  </si>
  <si>
    <t>2400kg/m3</t>
  </si>
  <si>
    <t>CW share</t>
  </si>
  <si>
    <t>Non-haz</t>
  </si>
  <si>
    <t>700m2</t>
  </si>
  <si>
    <t>200m2</t>
  </si>
  <si>
    <t>Poured concrete</t>
  </si>
  <si>
    <t>Asphalt shingles</t>
  </si>
  <si>
    <t>1700m2</t>
  </si>
  <si>
    <t>Wood laminate flooring</t>
  </si>
  <si>
    <t>Date (and ID) of waste/material activity</t>
  </si>
  <si>
    <t>Notes</t>
  </si>
  <si>
    <t>350m2 (20mm thick)</t>
  </si>
  <si>
    <t>700kg/m3 &amp; 14 kg/m2</t>
  </si>
  <si>
    <t>Normalised CDW (kg/m2)</t>
  </si>
  <si>
    <t>Nature of CDW</t>
  </si>
  <si>
    <t>CDW share</t>
  </si>
  <si>
    <t>Destination / fate of CDW</t>
  </si>
  <si>
    <t>Wood based panel</t>
  </si>
  <si>
    <t>LEVEL 1 (further information about the European List of Wastes, LoW) pg. 1 of 3</t>
  </si>
  <si>
    <t>LEVEL 1 (further information about the European List of Wastes, LoW) pg. 2 of 3</t>
  </si>
  <si>
    <t>LEVEL 1 (further information about the List of Wastes (LoW) for WEEE) pg. 3 of 3</t>
  </si>
  <si>
    <t>All relevant LoW entry codes are provided in pages 2 and 3, together with the recommended nature that should be assumed for that waste code, for the purposes of reporting in the Level(s) template. In columns L and V, wastes are split into: , mirror non-hazardous (MNH), mirror hazardous (MH), absolute non-hazardous (ANH) and absolute hazardous (AH). Entries that are ANH or MNH, may be further considered to check if they are inert or not. All mirror entries (MNH and MH) need to be considered further according to the procedure defined below (taken from Commission Notice 2018/C 124/01) before deciding whether they are hazardous or non-hazardous.</t>
  </si>
  <si>
    <t>For the purposes of reporting on indicator 2.3, it is enough to simply record the quantities of WEEE generated from the demolition activity and ensure that these materials are taken to a WEEE facility. Any users that are interested in knowing more about the possible fates of WEEE after processing at a WEEE facility are referred to the example diagram in Figure 3 of Commission Notice 2018/C 124/01</t>
  </si>
  <si>
    <t>2.3. LEVEL 3 (measure): logging of actual CDW produced from any construction, demolition or renovation activities: DATA INPUT</t>
  </si>
  <si>
    <t>2.3. LEVEL 3 (measure): CDW produced from any construction, demolition or renovation activities: DATA OUTPUT</t>
  </si>
  <si>
    <t>Excavation waste (EW)</t>
  </si>
  <si>
    <t>Mass (kg/m2)</t>
  </si>
  <si>
    <t>of which:</t>
  </si>
  <si>
    <t>Structural columns</t>
  </si>
  <si>
    <t>140m3</t>
  </si>
  <si>
    <t>Rebar in concrete</t>
  </si>
  <si>
    <t>100kg/m3 concrete</t>
  </si>
  <si>
    <t>390m3 reinforced concrete</t>
  </si>
  <si>
    <t>Prepare element for reuse onsite</t>
  </si>
  <si>
    <t>Prepare element for reuse offsite</t>
  </si>
  <si>
    <t>Thermal destruction by incineration</t>
  </si>
  <si>
    <t>Energy recovery in waste to energy plant</t>
  </si>
  <si>
    <t>Onsite material recovery as backfill/ landscaping</t>
  </si>
  <si>
    <t>Offsite material recovery as backfill/ landscaping</t>
  </si>
  <si>
    <t>Haz. wood, glass, plastic</t>
  </si>
  <si>
    <t>Facades</t>
  </si>
  <si>
    <t>Foundations (substructure)</t>
  </si>
  <si>
    <t>Element-door</t>
  </si>
  <si>
    <t>Element-window</t>
  </si>
  <si>
    <t>Onsite recycling of contaminated soil (in-situ remediation)</t>
  </si>
  <si>
    <t>Offsite recycling of contaminated soil (ex-situ remediation)</t>
  </si>
  <si>
    <t>Sum of material sub-chapters</t>
  </si>
  <si>
    <t>Material-specific sub-chapters of CDW to be reported on</t>
  </si>
  <si>
    <t>n/a (element reuse)</t>
  </si>
  <si>
    <t>Wooden flooring</t>
  </si>
  <si>
    <t>n/a (onsite element reuse)</t>
  </si>
  <si>
    <t>Reuse of elements</t>
  </si>
  <si>
    <t>Reuse of materials</t>
  </si>
  <si>
    <t>Recycling of DW</t>
  </si>
  <si>
    <t>Material recovery (backfill)</t>
  </si>
  <si>
    <t>Energy recovery</t>
  </si>
  <si>
    <t>Prepare material for reuse onsite</t>
  </si>
  <si>
    <t>Prepare material for reuse offsite</t>
  </si>
  <si>
    <t>Onsite recycling of pure DW stream(s)</t>
  </si>
  <si>
    <t>Offsite recycling of pure DW stream(s)</t>
  </si>
  <si>
    <t>Onsite recycling of mixed DW stream</t>
  </si>
  <si>
    <t>Offsite recycling of mixed DW stream</t>
  </si>
  <si>
    <t>WEEE facility for recycling</t>
  </si>
  <si>
    <t>Asbestos-based cement insulation</t>
  </si>
  <si>
    <t>Mechanical or thermal treatment to remove plastic and recover copper</t>
  </si>
  <si>
    <t>Good condition, standard size (X x Y x Z cm) mainly wooden, with brass handle, lock and hinge mechanism.</t>
  </si>
  <si>
    <t>Best outlet recommended (auditor)</t>
  </si>
  <si>
    <t>Probable outlet (waste manager)</t>
  </si>
  <si>
    <t>Reuse (element)</t>
  </si>
  <si>
    <t>Reuse (material)</t>
  </si>
  <si>
    <t>Best outcome</t>
  </si>
  <si>
    <t>Probable outcome</t>
  </si>
  <si>
    <t>Revolving door (glass and steel)</t>
  </si>
  <si>
    <t>Main entrance</t>
  </si>
  <si>
    <t>Natural stone façade</t>
  </si>
  <si>
    <t>Front wall section around main entrance</t>
  </si>
  <si>
    <t>40m3</t>
  </si>
  <si>
    <t>To sand and varnish</t>
  </si>
  <si>
    <t>Iron rebar</t>
  </si>
  <si>
    <t>500m3 (concrete)</t>
  </si>
  <si>
    <t>1250m3</t>
  </si>
  <si>
    <t>1250m3 (concrete)</t>
  </si>
  <si>
    <t>1400m2</t>
  </si>
  <si>
    <t>Aluminium frame</t>
  </si>
  <si>
    <t>300m</t>
  </si>
  <si>
    <t>Optional: unit price 
(€ /kg)</t>
  </si>
  <si>
    <t>1200kg/m3 (&amp; 100€/m3)</t>
  </si>
  <si>
    <t>100kg/m3 concrete (&amp; 500€/t)</t>
  </si>
  <si>
    <t>60 bricks/m2 &amp; 3,5kg/brick (&amp; 1.5€/brick)</t>
  </si>
  <si>
    <t>3000kg/m3 &amp; 30mm thick (&amp; 80€/m2)</t>
  </si>
  <si>
    <t>2.5kg/m (&amp; 2100 €/t)</t>
  </si>
  <si>
    <t>12kg/m2 (&amp; 30€/m2)</t>
  </si>
  <si>
    <t>7,5kg/m2 (&amp; 12€/m2)</t>
  </si>
  <si>
    <t>BoQ conversion factor (and optionally material cost)</t>
  </si>
  <si>
    <t>640kg/m3 &amp; 12.5mm thick, 8kg/m2 (&amp; 5€/m2)</t>
  </si>
  <si>
    <t xml:space="preserve">35kg/door (&amp; 115€/door) </t>
  </si>
  <si>
    <t>Preparation of CW for reuse onsite or offsite</t>
  </si>
  <si>
    <t xml:space="preserve">Reuse  </t>
  </si>
  <si>
    <t>Door elements (containing wood, metal and glass)</t>
  </si>
  <si>
    <t>Prepare old element for onsite reuse</t>
  </si>
  <si>
    <t>Doors (wood, metal and glass)</t>
  </si>
  <si>
    <t>50 units, 35kg/unit</t>
  </si>
  <si>
    <t>35 kg/unit (25kg wood, 5kg metal, 5kg glass)</t>
  </si>
  <si>
    <t>Sleep</t>
  </si>
  <si>
    <t>Work</t>
  </si>
  <si>
    <t>Life</t>
  </si>
  <si>
    <t>Piles</t>
  </si>
  <si>
    <t>Basements</t>
  </si>
  <si>
    <t>Retaining walls</t>
  </si>
  <si>
    <t>Frame (beams, columns and slabs)</t>
  </si>
  <si>
    <t>Upper floors</t>
  </si>
  <si>
    <t>External walls</t>
  </si>
  <si>
    <t>Balconies</t>
  </si>
  <si>
    <t>Ground floor slab</t>
  </si>
  <si>
    <t>Internal walls, partitions and doors</t>
  </si>
  <si>
    <t>Stairs and ramps</t>
  </si>
  <si>
    <t>External wall systems, cladding and shading devices</t>
  </si>
  <si>
    <t>Façade openings (including windows and external doors)</t>
  </si>
  <si>
    <t>External paints, coatings and renders</t>
  </si>
  <si>
    <t>Weatherproofing</t>
  </si>
  <si>
    <t>Above ground and underground (within the curtilage of the building and servicing the building occupiers)</t>
  </si>
  <si>
    <t>Sanitary fittings</t>
  </si>
  <si>
    <t>Cupboards, wardbrobes and worktops (where provided in residential property)</t>
  </si>
  <si>
    <t>Ceilings</t>
  </si>
  <si>
    <t>Wall and ceiling finishes</t>
  </si>
  <si>
    <t>Floor coverings and finishes</t>
  </si>
  <si>
    <t>Light fittings</t>
  </si>
  <si>
    <t>Control systems and sensors</t>
  </si>
  <si>
    <t>Heating plant and distribution</t>
  </si>
  <si>
    <t>Cooling plant and distribution</t>
  </si>
  <si>
    <t>Electricity generation and distribution</t>
  </si>
  <si>
    <t>Air handling units</t>
  </si>
  <si>
    <t>Ductwork and distribution</t>
  </si>
  <si>
    <t>Cold water distribution</t>
  </si>
  <si>
    <t>Hot water distribution</t>
  </si>
  <si>
    <t>Water treatment systems</t>
  </si>
  <si>
    <t>Lifts and escalators</t>
  </si>
  <si>
    <t>Firefighting installations</t>
  </si>
  <si>
    <t>Communication and security installations</t>
  </si>
  <si>
    <t>Telecoms and data installations</t>
  </si>
  <si>
    <t>Connections and diversions</t>
  </si>
  <si>
    <t>Substations and equipment</t>
  </si>
  <si>
    <t>Paving and other hard surfacing</t>
  </si>
  <si>
    <t>Fencing, railings and walls</t>
  </si>
  <si>
    <t>Shell</t>
  </si>
  <si>
    <t>Core</t>
  </si>
  <si>
    <t>Description of material / element</t>
  </si>
  <si>
    <t>Tier 2 building aspect</t>
  </si>
  <si>
    <t>Tier 1 building aspect</t>
  </si>
  <si>
    <t>External_works</t>
  </si>
  <si>
    <t>Reuse of OO element offsite or return</t>
  </si>
  <si>
    <t>Reuse of OO material offsite or return</t>
  </si>
  <si>
    <t>Onsite recycling</t>
  </si>
  <si>
    <t>Offsite recycling</t>
  </si>
  <si>
    <t>In-situ remediation/recycling of contaminated soil</t>
  </si>
  <si>
    <t>Ex-situ remediation/recycling of contaminated soil</t>
  </si>
  <si>
    <t>Estimated over ordering (OO) rate (%)</t>
  </si>
  <si>
    <t>Estimated wastage (CW) rate (%)</t>
  </si>
  <si>
    <t>Optional "cost" of OO</t>
  </si>
  <si>
    <t>Optional: "cost" of CW</t>
  </si>
  <si>
    <t>Best outcome for CW</t>
  </si>
  <si>
    <t>Probable outcome for CW</t>
  </si>
  <si>
    <t>Probable CW+OO outcome</t>
  </si>
  <si>
    <t>Best outcome for OO</t>
  </si>
  <si>
    <t>Probable outcome for OO</t>
  </si>
  <si>
    <t>Probable OO outcome</t>
  </si>
  <si>
    <t>Best OO outcome</t>
  </si>
  <si>
    <t>CW Mass (kg)</t>
  </si>
  <si>
    <t>OO Mass (kg)</t>
  </si>
  <si>
    <t>Specific sub-chapters of CW+OO to be reported on</t>
  </si>
  <si>
    <t>Concrete, brick, tile, ceramic etc.</t>
  </si>
  <si>
    <t>Estimated OO material (kg)</t>
  </si>
  <si>
    <t>CW+OO (kg)</t>
  </si>
  <si>
    <t>Best CW+OO outcome</t>
  </si>
  <si>
    <r>
      <t>Insert more rows if needed (</t>
    </r>
    <r>
      <rPr>
        <b/>
        <i/>
        <sz val="11"/>
        <color rgb="FFFF0000"/>
        <rFont val="Calibri"/>
        <family val="2"/>
        <scheme val="minor"/>
      </rPr>
      <t>a non-exhaustive example is provided for a major renovation project, which should be deleted before filling out</t>
    </r>
    <r>
      <rPr>
        <b/>
        <sz val="11"/>
        <color theme="1"/>
        <rFont val="Calibri"/>
        <family val="2"/>
        <scheme val="minor"/>
      </rPr>
      <t>):</t>
    </r>
  </si>
  <si>
    <t>External drainage system</t>
  </si>
  <si>
    <t>Internal drainage system</t>
  </si>
  <si>
    <t>Received by WEEE Ltd at 1 Main Street, Wetown, WE1 E23 (contact email: xxxx; contact phone xxxx)</t>
  </si>
  <si>
    <t>Over-ordered material to be stored in buidling in case of need for future repairs</t>
  </si>
  <si>
    <t>Onsite reuse (preparation for)</t>
  </si>
  <si>
    <t>Offsite reuse (preparation for)</t>
  </si>
  <si>
    <t>Reuse of OO element/material</t>
  </si>
  <si>
    <t>Reuse of CW (preparation for)</t>
  </si>
  <si>
    <t>Received by…..</t>
  </si>
  <si>
    <t>Received by…</t>
  </si>
  <si>
    <t>18 Dec 2020,….</t>
  </si>
  <si>
    <t>19 Dec 2020…</t>
  </si>
  <si>
    <t>4 Jan 2021…</t>
  </si>
  <si>
    <t>15 Jan 2021…</t>
  </si>
  <si>
    <t>3 Feb 2021…</t>
  </si>
  <si>
    <t>19 Feb 2021…</t>
  </si>
  <si>
    <t>26 Feb 2021…</t>
  </si>
  <si>
    <t>26 Feb 2021..</t>
  </si>
  <si>
    <t>6 Dec 2020, Shipment #0001 sent, logged and photographed  by J.Doe</t>
  </si>
  <si>
    <t>Foundations_substructure</t>
  </si>
  <si>
    <t>Loadbearing_structural_frame</t>
  </si>
  <si>
    <t>Non-loadbearing_elements</t>
  </si>
  <si>
    <t>Roof</t>
  </si>
  <si>
    <t>Parking_facilities</t>
  </si>
  <si>
    <t>Fittings_and_furnishings</t>
  </si>
  <si>
    <t>In-built_lighting_system</t>
  </si>
  <si>
    <t>Energy_system</t>
  </si>
  <si>
    <t>Ventilation_system</t>
  </si>
  <si>
    <t>Sanitary_system</t>
  </si>
  <si>
    <t>Other_system</t>
  </si>
  <si>
    <t>Utilities</t>
  </si>
  <si>
    <t>Landscaping</t>
  </si>
  <si>
    <t>2.2 Construction and Demolition Waste (CDW)</t>
  </si>
  <si>
    <t>Indicator 2.2. LEVEL 2 (estimate): pre-demolition inventory: DATA INPUT</t>
  </si>
  <si>
    <t>Indicator 2.2. LEVEL 2 (estimate): pre-demolition inventory: DATA OUTPUT</t>
  </si>
  <si>
    <t>Indicator 2.2. LEVEL 2 (estimate): construction waste (CW) estimates based on Bill of Quantities (BoQ): DATA INPUT</t>
  </si>
  <si>
    <t>Indicator 2.2. LEVEL 2 (estimate): CW + OO estimate based on Bill of Quantities and assumed wastage rates: DATA OUTPUT</t>
  </si>
  <si>
    <t>Material costs lost as CW EUR</t>
  </si>
  <si>
    <t>Material costs remaining as OO EUR</t>
  </si>
  <si>
    <t>Landfill unit cost EUR/t</t>
  </si>
  <si>
    <t>Total landfill cost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</si>
</sst>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x14ac:knownFonts="1">
    <font>
      <sz val="11"/>
      <color theme="1"/>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sz val="9"/>
      <color theme="1"/>
      <name val="Calibri"/>
      <family val="2"/>
      <scheme val="minor"/>
    </font>
    <font>
      <b/>
      <sz val="14"/>
      <color theme="1"/>
      <name val="Calibri"/>
      <family val="2"/>
      <scheme val="minor"/>
    </font>
    <font>
      <b/>
      <sz val="9"/>
      <color indexed="81"/>
      <name val="Tahoma"/>
      <family val="2"/>
    </font>
    <font>
      <sz val="9"/>
      <color indexed="81"/>
      <name val="Tahoma"/>
      <family val="2"/>
    </font>
    <font>
      <sz val="10"/>
      <color rgb="FFFF0000"/>
      <name val="Calibri"/>
      <family val="2"/>
      <scheme val="minor"/>
    </font>
    <font>
      <i/>
      <sz val="10"/>
      <color theme="1"/>
      <name val="Calibri"/>
      <family val="2"/>
      <scheme val="minor"/>
    </font>
    <font>
      <b/>
      <i/>
      <sz val="11"/>
      <color rgb="FFFF0000"/>
      <name val="Calibri"/>
      <family val="2"/>
      <scheme val="minor"/>
    </font>
    <font>
      <sz val="11"/>
      <color theme="8"/>
      <name val="Calibri"/>
      <family val="2"/>
      <scheme val="minor"/>
    </font>
    <font>
      <sz val="10"/>
      <color theme="8"/>
      <name val="Calibri"/>
      <family val="2"/>
      <scheme val="minor"/>
    </font>
    <font>
      <vertAlign val="superscript"/>
      <sz val="10"/>
      <color theme="8"/>
      <name val="Calibri"/>
      <family val="2"/>
      <scheme val="minor"/>
    </font>
    <font>
      <sz val="9"/>
      <color theme="8"/>
      <name val="Calibri"/>
      <family val="2"/>
      <scheme val="minor"/>
    </font>
    <font>
      <sz val="11"/>
      <color rgb="FF00B050"/>
      <name val="Calibri"/>
      <family val="2"/>
      <scheme val="minor"/>
    </font>
    <font>
      <sz val="11"/>
      <color theme="5"/>
      <name val="Calibri"/>
      <family val="2"/>
      <scheme val="minor"/>
    </font>
    <font>
      <sz val="11"/>
      <color theme="1" tint="0.499984740745262"/>
      <name val="Calibri"/>
      <family val="2"/>
      <scheme val="minor"/>
    </font>
    <font>
      <b/>
      <sz val="11"/>
      <color theme="1" tint="0.499984740745262"/>
      <name val="Calibri"/>
      <family val="2"/>
      <scheme val="minor"/>
    </font>
    <font>
      <i/>
      <sz val="9"/>
      <name val="Calibri"/>
      <family val="2"/>
      <scheme val="minor"/>
    </font>
    <font>
      <sz val="9"/>
      <name val="Calibri"/>
      <family val="2"/>
      <scheme val="minor"/>
    </font>
    <font>
      <b/>
      <i/>
      <sz val="9"/>
      <color indexed="81"/>
      <name val="Tahoma"/>
      <family val="2"/>
    </font>
    <font>
      <i/>
      <sz val="9"/>
      <color theme="1"/>
      <name val="Calibri"/>
      <family val="2"/>
      <scheme val="minor"/>
    </font>
    <font>
      <b/>
      <sz val="11"/>
      <color rgb="FFC00000"/>
      <name val="Calibri"/>
      <family val="2"/>
      <scheme val="minor"/>
    </font>
    <font>
      <sz val="11"/>
      <color rgb="FFC00000"/>
      <name val="Calibri"/>
      <family val="2"/>
      <scheme val="minor"/>
    </font>
    <font>
      <b/>
      <sz val="10"/>
      <color rgb="FFC00000"/>
      <name val="Calibri"/>
      <family val="2"/>
      <scheme val="minor"/>
    </font>
    <font>
      <sz val="10"/>
      <color rgb="FFC00000"/>
      <name val="Calibri"/>
      <family val="2"/>
      <scheme val="minor"/>
    </font>
    <font>
      <sz val="9"/>
      <color rgb="FFFF0000"/>
      <name val="Calibri"/>
      <family val="2"/>
      <scheme val="minor"/>
    </font>
    <font>
      <sz val="8"/>
      <name val="Calibri"/>
      <family val="2"/>
      <scheme val="minor"/>
    </font>
  </fonts>
  <fills count="9">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CCCC"/>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485">
    <xf numFmtId="0" fontId="0" fillId="0" borderId="0" xfId="0"/>
    <xf numFmtId="0" fontId="0" fillId="0" borderId="0" xfId="0" applyBorder="1"/>
    <xf numFmtId="0" fontId="0" fillId="0" borderId="0" xfId="0" applyFill="1" applyBorder="1"/>
    <xf numFmtId="0" fontId="5" fillId="0" borderId="0" xfId="0" applyFont="1"/>
    <xf numFmtId="0" fontId="5" fillId="0" borderId="0" xfId="0" applyFont="1" applyFill="1" applyBorder="1"/>
    <xf numFmtId="0" fontId="5" fillId="0" borderId="23" xfId="0" applyFont="1" applyBorder="1"/>
    <xf numFmtId="0" fontId="0" fillId="0" borderId="0" xfId="0" applyAlignment="1">
      <alignment horizontal="left" vertical="center"/>
    </xf>
    <xf numFmtId="0" fontId="0" fillId="0" borderId="0" xfId="0" applyAlignment="1">
      <alignment wrapText="1"/>
    </xf>
    <xf numFmtId="0" fontId="6" fillId="0" borderId="23" xfId="0" applyFont="1" applyBorder="1" applyAlignment="1">
      <alignment horizontal="center" vertical="center" wrapText="1"/>
    </xf>
    <xf numFmtId="0" fontId="3"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0" fillId="0" borderId="23" xfId="0" applyBorder="1"/>
    <xf numFmtId="0" fontId="0" fillId="0" borderId="0" xfId="0" applyFill="1"/>
    <xf numFmtId="0" fontId="13" fillId="0" borderId="0" xfId="0" applyFont="1" applyFill="1"/>
    <xf numFmtId="0" fontId="0" fillId="0" borderId="0" xfId="0" applyAlignment="1">
      <alignment horizontal="center" vertical="center"/>
    </xf>
    <xf numFmtId="0" fontId="6" fillId="4" borderId="23"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3" xfId="0" applyFont="1" applyBorder="1" applyAlignment="1">
      <alignment horizontal="center" vertical="center"/>
    </xf>
    <xf numFmtId="0" fontId="14" fillId="0" borderId="0" xfId="0" applyFont="1" applyFill="1"/>
    <xf numFmtId="0" fontId="15" fillId="0" borderId="0" xfId="0" applyFont="1" applyFill="1" applyBorder="1"/>
    <xf numFmtId="0" fontId="14" fillId="0" borderId="0" xfId="0" applyFont="1" applyFill="1" applyBorder="1"/>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0" borderId="18" xfId="0" applyBorder="1" applyAlignment="1">
      <alignment horizontal="center" vertical="center"/>
    </xf>
    <xf numFmtId="0" fontId="0" fillId="0" borderId="13" xfId="0" applyBorder="1"/>
    <xf numFmtId="0" fontId="0" fillId="0" borderId="16" xfId="0" applyBorder="1"/>
    <xf numFmtId="0" fontId="0" fillId="0" borderId="18" xfId="0" applyBorder="1"/>
    <xf numFmtId="0" fontId="0" fillId="0" borderId="19" xfId="0" applyBorder="1"/>
    <xf numFmtId="0" fontId="0" fillId="0" borderId="43" xfId="0" applyBorder="1"/>
    <xf numFmtId="0" fontId="0" fillId="0" borderId="9" xfId="0" applyBorder="1"/>
    <xf numFmtId="0" fontId="2" fillId="4" borderId="7" xfId="0" applyFont="1" applyFill="1" applyBorder="1" applyAlignment="1">
      <alignment horizontal="center"/>
    </xf>
    <xf numFmtId="0" fontId="2" fillId="4" borderId="1" xfId="0" applyFont="1" applyFill="1" applyBorder="1" applyAlignment="1">
      <alignment vertical="center"/>
    </xf>
    <xf numFmtId="164" fontId="0" fillId="0" borderId="0" xfId="0" applyNumberFormat="1" applyBorder="1" applyAlignment="1">
      <alignment horizontal="center"/>
    </xf>
    <xf numFmtId="164" fontId="0" fillId="0" borderId="19" xfId="0" applyNumberFormat="1" applyBorder="1" applyAlignment="1">
      <alignment horizontal="center"/>
    </xf>
    <xf numFmtId="164" fontId="2" fillId="4" borderId="8" xfId="0" applyNumberFormat="1" applyFont="1" applyFill="1" applyBorder="1" applyAlignment="1">
      <alignment horizontal="center"/>
    </xf>
    <xf numFmtId="1" fontId="0" fillId="0" borderId="0" xfId="0" applyNumberFormat="1" applyBorder="1" applyAlignment="1">
      <alignment horizontal="center"/>
    </xf>
    <xf numFmtId="1" fontId="0" fillId="0" borderId="19" xfId="0" applyNumberFormat="1" applyBorder="1" applyAlignment="1">
      <alignment horizontal="center"/>
    </xf>
    <xf numFmtId="0" fontId="0" fillId="0" borderId="9" xfId="0" applyBorder="1" applyAlignment="1">
      <alignment horizontal="center" vertical="center"/>
    </xf>
    <xf numFmtId="0" fontId="0" fillId="0" borderId="13" xfId="0" applyBorder="1" applyAlignment="1">
      <alignment horizontal="center" vertical="center"/>
    </xf>
    <xf numFmtId="164" fontId="0" fillId="0" borderId="11" xfId="0" applyNumberFormat="1" applyBorder="1" applyAlignment="1">
      <alignment horizontal="center" vertical="center"/>
    </xf>
    <xf numFmtId="0" fontId="0" fillId="0" borderId="0" xfId="0" applyBorder="1" applyAlignment="1">
      <alignment horizontal="center" vertical="center"/>
    </xf>
    <xf numFmtId="0" fontId="2" fillId="4" borderId="17"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1" xfId="0" applyFont="1" applyFill="1" applyBorder="1" applyAlignment="1">
      <alignment horizontal="center" vertical="center"/>
    </xf>
    <xf numFmtId="1" fontId="0" fillId="0" borderId="11" xfId="0" applyNumberFormat="1" applyBorder="1" applyAlignment="1">
      <alignment horizontal="center" vertical="center"/>
    </xf>
    <xf numFmtId="1" fontId="0" fillId="0" borderId="16" xfId="0" applyNumberFormat="1" applyBorder="1" applyAlignment="1">
      <alignment horizontal="center" vertical="center"/>
    </xf>
    <xf numFmtId="1" fontId="0" fillId="0" borderId="43" xfId="0" applyNumberFormat="1" applyBorder="1" applyAlignment="1">
      <alignment horizontal="center" vertical="center"/>
    </xf>
    <xf numFmtId="1" fontId="2" fillId="4" borderId="1"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0" fillId="4" borderId="12" xfId="0" applyFill="1" applyBorder="1" applyAlignment="1">
      <alignment horizontal="center" vertical="center"/>
    </xf>
    <xf numFmtId="165" fontId="7" fillId="5" borderId="1" xfId="0" applyNumberFormat="1" applyFont="1" applyFill="1" applyBorder="1" applyAlignment="1">
      <alignment horizontal="center" vertical="center"/>
    </xf>
    <xf numFmtId="0" fontId="20" fillId="4" borderId="7" xfId="0" applyFont="1" applyFill="1" applyBorder="1" applyAlignment="1">
      <alignment horizontal="center" vertical="center"/>
    </xf>
    <xf numFmtId="165" fontId="19" fillId="0" borderId="10" xfId="0" applyNumberFormat="1" applyFont="1" applyBorder="1" applyAlignment="1">
      <alignment horizontal="center" vertical="center"/>
    </xf>
    <xf numFmtId="164" fontId="19" fillId="0" borderId="11" xfId="0" applyNumberFormat="1" applyFont="1" applyBorder="1" applyAlignment="1">
      <alignment horizontal="center" vertical="center"/>
    </xf>
    <xf numFmtId="165" fontId="19" fillId="0" borderId="0" xfId="0" applyNumberFormat="1" applyFont="1" applyBorder="1" applyAlignment="1">
      <alignment horizontal="center" vertical="center"/>
    </xf>
    <xf numFmtId="164" fontId="19" fillId="0" borderId="16" xfId="0" applyNumberFormat="1" applyFont="1" applyBorder="1" applyAlignment="1">
      <alignment horizontal="center" vertical="center"/>
    </xf>
    <xf numFmtId="165" fontId="19" fillId="0" borderId="19" xfId="0" applyNumberFormat="1" applyFont="1" applyBorder="1" applyAlignment="1">
      <alignment horizontal="center" vertical="center"/>
    </xf>
    <xf numFmtId="164" fontId="19" fillId="0" borderId="43" xfId="0" applyNumberFormat="1" applyFont="1" applyBorder="1" applyAlignment="1">
      <alignment horizontal="center" vertical="center"/>
    </xf>
    <xf numFmtId="0" fontId="22" fillId="0" borderId="23" xfId="0" applyFont="1" applyBorder="1" applyAlignment="1">
      <alignment horizontal="center" vertical="center" wrapText="1"/>
    </xf>
    <xf numFmtId="0" fontId="22" fillId="0" borderId="23" xfId="0" applyFont="1" applyBorder="1" applyAlignment="1">
      <alignment horizontal="left" vertical="center"/>
    </xf>
    <xf numFmtId="0" fontId="0" fillId="4" borderId="11" xfId="0" applyFill="1" applyBorder="1" applyAlignment="1">
      <alignment horizontal="center" vertical="center" wrapText="1"/>
    </xf>
    <xf numFmtId="0" fontId="0" fillId="4" borderId="9" xfId="0" applyFill="1" applyBorder="1" applyAlignment="1">
      <alignment horizontal="center" vertical="center" wrapText="1"/>
    </xf>
    <xf numFmtId="0" fontId="20" fillId="0" borderId="0" xfId="0" applyFont="1" applyFill="1" applyBorder="1" applyAlignment="1">
      <alignment horizontal="center" vertical="center"/>
    </xf>
    <xf numFmtId="0" fontId="25" fillId="4" borderId="7" xfId="0" applyFont="1" applyFill="1" applyBorder="1" applyAlignment="1">
      <alignment horizontal="center" vertical="center"/>
    </xf>
    <xf numFmtId="0" fontId="26" fillId="0" borderId="10" xfId="0" applyFont="1" applyBorder="1" applyAlignment="1">
      <alignment horizontal="center" vertical="center"/>
    </xf>
    <xf numFmtId="164" fontId="26" fillId="0" borderId="11" xfId="0" applyNumberFormat="1" applyFont="1" applyBorder="1" applyAlignment="1">
      <alignment horizontal="center" vertical="center"/>
    </xf>
    <xf numFmtId="0" fontId="26" fillId="0" borderId="0" xfId="0" applyFont="1" applyBorder="1" applyAlignment="1">
      <alignment horizontal="center" vertical="center"/>
    </xf>
    <xf numFmtId="164" fontId="26" fillId="0" borderId="16" xfId="0" applyNumberFormat="1" applyFont="1" applyBorder="1" applyAlignment="1">
      <alignment horizontal="center" vertical="center"/>
    </xf>
    <xf numFmtId="0" fontId="26" fillId="0" borderId="19" xfId="0" applyFont="1" applyBorder="1" applyAlignment="1">
      <alignment horizontal="center" vertical="center"/>
    </xf>
    <xf numFmtId="164" fontId="26" fillId="0" borderId="43" xfId="0" applyNumberFormat="1" applyFont="1" applyBorder="1" applyAlignment="1">
      <alignment horizontal="center" vertical="center"/>
    </xf>
    <xf numFmtId="0" fontId="17" fillId="0" borderId="0" xfId="0" applyFont="1" applyFill="1" applyBorder="1" applyAlignment="1">
      <alignment horizontal="center" vertical="center"/>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6" fillId="4" borderId="15" xfId="0" applyFont="1" applyFill="1" applyBorder="1" applyAlignment="1">
      <alignment horizontal="center" vertical="center"/>
    </xf>
    <xf numFmtId="0" fontId="5" fillId="0" borderId="14" xfId="0" applyFont="1" applyBorder="1"/>
    <xf numFmtId="0" fontId="6" fillId="0" borderId="15" xfId="0" applyFont="1" applyFill="1" applyBorder="1" applyAlignment="1">
      <alignment horizontal="center" vertical="center"/>
    </xf>
    <xf numFmtId="0" fontId="6" fillId="0" borderId="15" xfId="0" applyFont="1" applyBorder="1" applyAlignment="1">
      <alignment horizontal="center" vertical="center"/>
    </xf>
    <xf numFmtId="0" fontId="6" fillId="3" borderId="15" xfId="0" applyFont="1" applyFill="1" applyBorder="1" applyAlignment="1">
      <alignment horizontal="center" vertical="center"/>
    </xf>
    <xf numFmtId="0" fontId="5" fillId="0" borderId="20" xfId="0" applyFont="1" applyBorder="1"/>
    <xf numFmtId="0" fontId="14" fillId="0" borderId="25" xfId="0" applyFont="1" applyBorder="1" applyAlignment="1">
      <alignment horizontal="center" vertical="center"/>
    </xf>
    <xf numFmtId="0" fontId="6" fillId="0" borderId="21" xfId="0" applyFont="1" applyFill="1" applyBorder="1" applyAlignment="1">
      <alignment horizontal="center" vertical="center"/>
    </xf>
    <xf numFmtId="0" fontId="5" fillId="0" borderId="14" xfId="0" applyFont="1" applyFill="1" applyBorder="1"/>
    <xf numFmtId="0" fontId="6" fillId="0" borderId="50" xfId="0" applyFont="1" applyFill="1" applyBorder="1" applyAlignment="1">
      <alignment horizontal="center" vertical="center"/>
    </xf>
    <xf numFmtId="0" fontId="0" fillId="0" borderId="16" xfId="0" applyFill="1" applyBorder="1"/>
    <xf numFmtId="0" fontId="16" fillId="0" borderId="0" xfId="0" applyFont="1" applyFill="1" applyBorder="1"/>
    <xf numFmtId="0" fontId="13" fillId="0" borderId="0" xfId="0" applyFont="1" applyFill="1" applyBorder="1"/>
    <xf numFmtId="0" fontId="16" fillId="0" borderId="19" xfId="0" applyFont="1" applyFill="1" applyBorder="1"/>
    <xf numFmtId="0" fontId="0" fillId="0" borderId="19" xfId="0" applyFill="1" applyBorder="1"/>
    <xf numFmtId="0" fontId="14" fillId="0" borderId="19" xfId="0" applyFont="1" applyFill="1" applyBorder="1"/>
    <xf numFmtId="0" fontId="13" fillId="0" borderId="19" xfId="0" applyFont="1" applyFill="1" applyBorder="1"/>
    <xf numFmtId="0" fontId="0" fillId="0" borderId="43" xfId="0" applyFill="1" applyBorder="1"/>
    <xf numFmtId="0" fontId="22" fillId="0" borderId="30"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22" fillId="0" borderId="30" xfId="0" applyFont="1" applyBorder="1" applyAlignment="1">
      <alignment horizontal="left" vertical="center"/>
    </xf>
    <xf numFmtId="0" fontId="22" fillId="0" borderId="14" xfId="0" applyFont="1" applyBorder="1" applyAlignment="1">
      <alignment horizontal="center" vertical="center" wrapText="1"/>
    </xf>
    <xf numFmtId="0" fontId="22" fillId="0" borderId="15" xfId="0" applyFont="1" applyBorder="1" applyAlignment="1">
      <alignment horizontal="left" vertical="center"/>
    </xf>
    <xf numFmtId="0" fontId="6" fillId="0" borderId="20" xfId="0" applyFont="1" applyBorder="1" applyAlignment="1">
      <alignment horizontal="center" vertical="center" wrapText="1"/>
    </xf>
    <xf numFmtId="0" fontId="6" fillId="0" borderId="25" xfId="0" applyFont="1" applyBorder="1" applyAlignment="1">
      <alignment horizontal="center" vertical="center" wrapText="1"/>
    </xf>
    <xf numFmtId="1" fontId="0" fillId="0" borderId="0" xfId="0" applyNumberFormat="1" applyBorder="1"/>
    <xf numFmtId="0" fontId="5" fillId="0" borderId="0" xfId="0" applyFont="1" applyBorder="1"/>
    <xf numFmtId="0" fontId="5" fillId="0" borderId="19" xfId="0" applyFont="1" applyBorder="1"/>
    <xf numFmtId="0" fontId="28" fillId="0" borderId="14" xfId="0" applyFont="1" applyBorder="1"/>
    <xf numFmtId="0" fontId="4" fillId="4" borderId="30" xfId="0" applyFont="1" applyFill="1" applyBorder="1" applyAlignment="1">
      <alignment horizontal="center" vertical="center" wrapText="1"/>
    </xf>
    <xf numFmtId="0" fontId="6" fillId="0" borderId="14" xfId="0" applyFont="1" applyBorder="1" applyAlignment="1">
      <alignment horizontal="center" vertical="center" wrapText="1"/>
    </xf>
    <xf numFmtId="0" fontId="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26" fillId="0" borderId="18" xfId="0" applyFont="1" applyBorder="1" applyAlignment="1">
      <alignment horizontal="center" vertical="center"/>
    </xf>
    <xf numFmtId="0" fontId="11" fillId="0" borderId="0" xfId="0" applyFont="1" applyBorder="1" applyAlignment="1">
      <alignment horizontal="center" vertical="center"/>
    </xf>
    <xf numFmtId="0" fontId="25" fillId="4" borderId="8" xfId="0" applyFont="1" applyFill="1" applyBorder="1" applyAlignment="1">
      <alignment horizontal="center" vertical="center"/>
    </xf>
    <xf numFmtId="0" fontId="20" fillId="4" borderId="8" xfId="0" applyFont="1" applyFill="1" applyBorder="1" applyAlignment="1">
      <alignment horizontal="center" vertical="center"/>
    </xf>
    <xf numFmtId="0" fontId="26" fillId="0" borderId="13" xfId="0" applyFont="1" applyBorder="1" applyAlignment="1">
      <alignment horizontal="center" vertical="center"/>
    </xf>
    <xf numFmtId="0" fontId="26" fillId="0" borderId="9" xfId="0" applyFont="1" applyBorder="1" applyAlignment="1">
      <alignment horizontal="center" vertical="center"/>
    </xf>
    <xf numFmtId="0" fontId="11" fillId="0" borderId="0" xfId="0" applyFont="1" applyAlignment="1">
      <alignment horizontal="center" vertical="center"/>
    </xf>
    <xf numFmtId="0" fontId="19" fillId="0" borderId="9" xfId="0" applyFont="1" applyBorder="1" applyAlignment="1"/>
    <xf numFmtId="0" fontId="19" fillId="0" borderId="11" xfId="0" applyFont="1" applyBorder="1" applyAlignment="1"/>
    <xf numFmtId="0" fontId="19" fillId="0" borderId="13" xfId="0" applyFont="1" applyBorder="1" applyAlignment="1"/>
    <xf numFmtId="0" fontId="19" fillId="0" borderId="16" xfId="0" applyFont="1" applyBorder="1" applyAlignment="1"/>
    <xf numFmtId="0" fontId="19" fillId="0" borderId="18" xfId="0" applyFont="1" applyBorder="1" applyAlignment="1"/>
    <xf numFmtId="0" fontId="19" fillId="0" borderId="43" xfId="0" applyFont="1" applyBorder="1" applyAlignment="1"/>
    <xf numFmtId="0" fontId="26" fillId="0" borderId="13" xfId="0" applyFont="1" applyBorder="1" applyAlignment="1">
      <alignment vertical="center"/>
    </xf>
    <xf numFmtId="0" fontId="26" fillId="0" borderId="16" xfId="0" applyFont="1" applyBorder="1" applyAlignment="1">
      <alignment vertical="center"/>
    </xf>
    <xf numFmtId="0" fontId="26" fillId="0" borderId="18" xfId="0" applyFont="1" applyBorder="1" applyAlignment="1">
      <alignment vertical="center"/>
    </xf>
    <xf numFmtId="0" fontId="26" fillId="0" borderId="43" xfId="0" applyFont="1" applyBorder="1" applyAlignment="1">
      <alignment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65" fontId="0" fillId="0" borderId="0" xfId="0" applyNumberFormat="1" applyBorder="1" applyAlignment="1">
      <alignment horizontal="center"/>
    </xf>
    <xf numFmtId="165" fontId="0" fillId="0" borderId="19" xfId="0" applyNumberFormat="1" applyBorder="1" applyAlignment="1">
      <alignment horizontal="center"/>
    </xf>
    <xf numFmtId="164" fontId="2" fillId="0" borderId="0" xfId="0" applyNumberFormat="1" applyFont="1" applyFill="1" applyBorder="1" applyAlignment="1">
      <alignment horizont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22" fillId="0" borderId="27" xfId="0" applyFont="1" applyBorder="1" applyAlignment="1">
      <alignment horizontal="left" vertical="center"/>
    </xf>
    <xf numFmtId="0" fontId="22" fillId="0" borderId="28" xfId="0" applyFont="1" applyBorder="1" applyAlignment="1">
      <alignment horizontal="left" vertical="center"/>
    </xf>
    <xf numFmtId="0" fontId="22" fillId="0" borderId="31" xfId="0" applyFont="1" applyBorder="1" applyAlignment="1">
      <alignment horizontal="left" vertical="center"/>
    </xf>
    <xf numFmtId="0" fontId="22" fillId="0" borderId="51" xfId="0" applyFont="1" applyFill="1" applyBorder="1" applyAlignment="1">
      <alignment horizontal="center" vertical="center" wrapText="1"/>
    </xf>
    <xf numFmtId="2" fontId="19" fillId="0" borderId="10" xfId="0" applyNumberFormat="1" applyFont="1" applyBorder="1" applyAlignment="1">
      <alignment horizontal="center" vertical="center"/>
    </xf>
    <xf numFmtId="2" fontId="19" fillId="0" borderId="0" xfId="0" applyNumberFormat="1" applyFont="1" applyBorder="1" applyAlignment="1">
      <alignment horizontal="center" vertical="center"/>
    </xf>
    <xf numFmtId="2" fontId="19" fillId="0" borderId="19" xfId="0" applyNumberFormat="1" applyFont="1" applyBorder="1" applyAlignment="1">
      <alignment horizontal="center" vertical="center"/>
    </xf>
    <xf numFmtId="0" fontId="25" fillId="4" borderId="6" xfId="0" applyFont="1" applyFill="1" applyBorder="1" applyAlignment="1">
      <alignment vertical="center"/>
    </xf>
    <xf numFmtId="0" fontId="25" fillId="4" borderId="8" xfId="0" applyFont="1" applyFill="1" applyBorder="1" applyAlignment="1">
      <alignment vertical="center"/>
    </xf>
    <xf numFmtId="164" fontId="2" fillId="4" borderId="7" xfId="0" applyNumberFormat="1" applyFont="1" applyFill="1" applyBorder="1" applyAlignment="1">
      <alignment horizontal="center"/>
    </xf>
    <xf numFmtId="165" fontId="2" fillId="4" borderId="8" xfId="0" applyNumberFormat="1" applyFont="1" applyFill="1" applyBorder="1" applyAlignment="1">
      <alignment horizontal="center"/>
    </xf>
    <xf numFmtId="0" fontId="2" fillId="4" borderId="6" xfId="0" applyFont="1" applyFill="1" applyBorder="1" applyAlignment="1">
      <alignment horizontal="center"/>
    </xf>
    <xf numFmtId="0" fontId="0" fillId="4" borderId="0" xfId="0" applyFill="1" applyBorder="1" applyAlignment="1">
      <alignment horizontal="center" vertical="center" wrapText="1"/>
    </xf>
    <xf numFmtId="0" fontId="0" fillId="4" borderId="6" xfId="0" applyFill="1" applyBorder="1" applyAlignment="1">
      <alignment vertical="center"/>
    </xf>
    <xf numFmtId="0" fontId="0" fillId="4" borderId="8" xfId="0" applyFill="1" applyBorder="1" applyAlignment="1">
      <alignment vertical="center"/>
    </xf>
    <xf numFmtId="0" fontId="20" fillId="4" borderId="6" xfId="0" applyFont="1" applyFill="1" applyBorder="1" applyAlignment="1">
      <alignment vertical="center"/>
    </xf>
    <xf numFmtId="0" fontId="20" fillId="4" borderId="8" xfId="0" applyFont="1" applyFill="1" applyBorder="1" applyAlignment="1">
      <alignment vertical="center"/>
    </xf>
    <xf numFmtId="0" fontId="2" fillId="0" borderId="0" xfId="0" applyFont="1" applyFill="1" applyBorder="1" applyAlignment="1"/>
    <xf numFmtId="0" fontId="17" fillId="0" borderId="12" xfId="0" applyFont="1" applyBorder="1" applyAlignment="1">
      <alignment horizontal="center" vertical="center"/>
    </xf>
    <xf numFmtId="0" fontId="0" fillId="4" borderId="6" xfId="0" applyFill="1" applyBorder="1" applyAlignment="1">
      <alignment horizontal="center" vertical="center" wrapText="1"/>
    </xf>
    <xf numFmtId="0" fontId="6" fillId="0" borderId="0" xfId="0" applyFont="1" applyBorder="1" applyAlignment="1">
      <alignment horizontal="center" vertical="center" wrapText="1"/>
    </xf>
    <xf numFmtId="0" fontId="5" fillId="0" borderId="23" xfId="0" applyFont="1" applyBorder="1" applyAlignment="1">
      <alignment horizontal="center" vertical="center"/>
    </xf>
    <xf numFmtId="0" fontId="6" fillId="0" borderId="29" xfId="0" applyFont="1" applyBorder="1" applyAlignment="1">
      <alignment horizontal="center" vertical="center" wrapText="1"/>
    </xf>
    <xf numFmtId="0" fontId="6" fillId="0" borderId="4" xfId="0" applyFont="1" applyBorder="1" applyAlignment="1">
      <alignment horizontal="center" vertical="center" wrapText="1"/>
    </xf>
    <xf numFmtId="0" fontId="0" fillId="0" borderId="4" xfId="0" applyBorder="1"/>
    <xf numFmtId="0" fontId="0" fillId="0" borderId="5" xfId="0" applyBorder="1"/>
    <xf numFmtId="0" fontId="0" fillId="0" borderId="15" xfId="0" applyBorder="1"/>
    <xf numFmtId="0" fontId="0" fillId="0" borderId="25" xfId="0" applyBorder="1"/>
    <xf numFmtId="0" fontId="0" fillId="0" borderId="21" xfId="0" applyBorder="1"/>
    <xf numFmtId="0" fontId="0" fillId="4" borderId="10" xfId="0" applyFill="1" applyBorder="1" applyAlignment="1">
      <alignment horizontal="center" vertical="center" wrapText="1"/>
    </xf>
    <xf numFmtId="0" fontId="2" fillId="0" borderId="0" xfId="0" applyFont="1" applyFill="1" applyBorder="1" applyAlignment="1">
      <alignment vertical="center" wrapText="1"/>
    </xf>
    <xf numFmtId="165" fontId="0" fillId="0" borderId="0" xfId="0" applyNumberFormat="1" applyFill="1" applyBorder="1" applyAlignment="1">
      <alignment horizontal="center" vertical="center"/>
    </xf>
    <xf numFmtId="0" fontId="0" fillId="0" borderId="7" xfId="0" applyBorder="1"/>
    <xf numFmtId="2" fontId="21" fillId="6" borderId="23" xfId="0" applyNumberFormat="1" applyFont="1" applyFill="1" applyBorder="1" applyAlignment="1">
      <alignment horizontal="center" vertical="center" wrapText="1"/>
    </xf>
    <xf numFmtId="2" fontId="24" fillId="6" borderId="23" xfId="0" applyNumberFormat="1" applyFont="1" applyFill="1" applyBorder="1" applyAlignment="1">
      <alignment horizontal="center" vertical="center" wrapText="1"/>
    </xf>
    <xf numFmtId="2" fontId="0" fillId="6" borderId="23" xfId="0" applyNumberFormat="1" applyFill="1" applyBorder="1"/>
    <xf numFmtId="0" fontId="22" fillId="7" borderId="30" xfId="0" applyFont="1" applyFill="1" applyBorder="1" applyAlignment="1">
      <alignment horizontal="center" vertical="center" wrapText="1"/>
    </xf>
    <xf numFmtId="0" fontId="22" fillId="7" borderId="23"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0" fillId="6" borderId="23" xfId="0" applyFill="1" applyBorder="1"/>
    <xf numFmtId="164" fontId="22" fillId="6" borderId="23" xfId="0" applyNumberFormat="1" applyFont="1" applyFill="1" applyBorder="1" applyAlignment="1">
      <alignment horizontal="center" vertical="center" wrapText="1"/>
    </xf>
    <xf numFmtId="164" fontId="6" fillId="6" borderId="23" xfId="0" applyNumberFormat="1" applyFont="1" applyFill="1" applyBorder="1" applyAlignment="1">
      <alignment horizontal="center" vertical="center" wrapText="1"/>
    </xf>
    <xf numFmtId="164" fontId="0" fillId="6" borderId="23" xfId="0" applyNumberFormat="1" applyFill="1" applyBorder="1"/>
    <xf numFmtId="164" fontId="22" fillId="7" borderId="23" xfId="0" applyNumberFormat="1" applyFont="1" applyFill="1" applyBorder="1" applyAlignment="1">
      <alignment horizontal="center" vertical="center" wrapText="1"/>
    </xf>
    <xf numFmtId="164" fontId="6" fillId="7" borderId="23" xfId="0" applyNumberFormat="1" applyFont="1" applyFill="1" applyBorder="1" applyAlignment="1">
      <alignment horizontal="center" vertical="center" wrapText="1"/>
    </xf>
    <xf numFmtId="0" fontId="0" fillId="7" borderId="23" xfId="0" applyFill="1" applyBorder="1"/>
    <xf numFmtId="164" fontId="0" fillId="7" borderId="23" xfId="0" applyNumberFormat="1" applyFill="1" applyBorder="1"/>
    <xf numFmtId="0" fontId="22" fillId="6" borderId="30" xfId="0" applyFont="1" applyFill="1" applyBorder="1" applyAlignment="1">
      <alignment horizontal="center" vertical="center" wrapText="1"/>
    </xf>
    <xf numFmtId="164" fontId="22" fillId="7" borderId="30" xfId="0" applyNumberFormat="1" applyFont="1" applyFill="1" applyBorder="1" applyAlignment="1">
      <alignment horizontal="center" vertical="center" wrapText="1"/>
    </xf>
    <xf numFmtId="2" fontId="21" fillId="6" borderId="30" xfId="0" applyNumberFormat="1" applyFont="1" applyFill="1" applyBorder="1" applyAlignment="1">
      <alignment horizontal="center" vertical="center" wrapText="1"/>
    </xf>
    <xf numFmtId="0" fontId="21" fillId="8" borderId="30" xfId="0" applyFont="1" applyFill="1" applyBorder="1" applyAlignment="1">
      <alignment horizontal="center" vertical="center" wrapText="1"/>
    </xf>
    <xf numFmtId="0" fontId="21" fillId="8" borderId="23" xfId="0" applyFont="1" applyFill="1" applyBorder="1" applyAlignment="1">
      <alignment horizontal="center" vertical="center" wrapText="1"/>
    </xf>
    <xf numFmtId="0" fontId="22" fillId="8" borderId="30"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25" xfId="0" applyFont="1" applyFill="1" applyBorder="1" applyAlignment="1">
      <alignment horizontal="center" vertical="center" wrapText="1"/>
    </xf>
    <xf numFmtId="0" fontId="5" fillId="7" borderId="30" xfId="0" applyFont="1" applyFill="1" applyBorder="1" applyAlignment="1">
      <alignment horizontal="left" vertical="center"/>
    </xf>
    <xf numFmtId="0" fontId="5" fillId="7" borderId="23" xfId="0" applyFont="1" applyFill="1" applyBorder="1" applyAlignment="1">
      <alignment horizontal="left" vertical="center"/>
    </xf>
    <xf numFmtId="0" fontId="22" fillId="7" borderId="30" xfId="0" applyFont="1" applyFill="1" applyBorder="1" applyAlignment="1">
      <alignment horizontal="left" vertical="center" wrapText="1"/>
    </xf>
    <xf numFmtId="0" fontId="22" fillId="7" borderId="23" xfId="0" applyFont="1" applyFill="1" applyBorder="1" applyAlignment="1">
      <alignment horizontal="left" vertical="center" wrapText="1"/>
    </xf>
    <xf numFmtId="0" fontId="6" fillId="7" borderId="23" xfId="0" applyFont="1" applyFill="1" applyBorder="1" applyAlignment="1">
      <alignment horizontal="left" vertical="center" wrapText="1"/>
    </xf>
    <xf numFmtId="0" fontId="0" fillId="7" borderId="23" xfId="0" applyFill="1" applyBorder="1" applyAlignment="1">
      <alignment horizontal="left"/>
    </xf>
    <xf numFmtId="0" fontId="30" fillId="7" borderId="23" xfId="0" applyFont="1" applyFill="1" applyBorder="1" applyAlignment="1">
      <alignment horizontal="center" vertical="center" wrapText="1"/>
    </xf>
    <xf numFmtId="0" fontId="30" fillId="7" borderId="3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xf numFmtId="164" fontId="0" fillId="0" borderId="0" xfId="0" applyNumberFormat="1" applyAlignment="1">
      <alignment horizontal="center" vertical="center"/>
    </xf>
    <xf numFmtId="1" fontId="0" fillId="8" borderId="0" xfId="0" applyNumberFormat="1" applyFill="1" applyBorder="1" applyAlignment="1">
      <alignment horizontal="center"/>
    </xf>
    <xf numFmtId="164" fontId="0" fillId="8" borderId="0" xfId="0" applyNumberFormat="1" applyFill="1" applyBorder="1" applyAlignment="1">
      <alignment horizontal="center"/>
    </xf>
    <xf numFmtId="165" fontId="0" fillId="8" borderId="0" xfId="0" applyNumberFormat="1" applyFill="1" applyBorder="1" applyAlignment="1">
      <alignment horizontal="center"/>
    </xf>
    <xf numFmtId="1" fontId="0" fillId="8" borderId="11" xfId="0" applyNumberFormat="1" applyFill="1" applyBorder="1" applyAlignment="1">
      <alignment horizontal="center" vertical="center"/>
    </xf>
    <xf numFmtId="1" fontId="0" fillId="8" borderId="16" xfId="0" applyNumberFormat="1" applyFill="1" applyBorder="1" applyAlignment="1">
      <alignment horizontal="center" vertical="center"/>
    </xf>
    <xf numFmtId="1" fontId="0" fillId="8" borderId="43" xfId="0" applyNumberFormat="1" applyFill="1" applyBorder="1" applyAlignment="1">
      <alignment horizontal="center" vertical="center"/>
    </xf>
    <xf numFmtId="0" fontId="0" fillId="7" borderId="9" xfId="0" applyFill="1" applyBorder="1" applyAlignment="1">
      <alignment horizontal="center" vertical="center"/>
    </xf>
    <xf numFmtId="0" fontId="0" fillId="7" borderId="13" xfId="0" applyFill="1" applyBorder="1" applyAlignment="1">
      <alignment horizontal="center" vertical="center"/>
    </xf>
    <xf numFmtId="0" fontId="0" fillId="7" borderId="18" xfId="0" applyFill="1" applyBorder="1" applyAlignment="1">
      <alignment horizontal="center" vertical="center"/>
    </xf>
    <xf numFmtId="0" fontId="26" fillId="8" borderId="9" xfId="0" applyFont="1" applyFill="1" applyBorder="1" applyAlignment="1">
      <alignment horizontal="center" vertical="center"/>
    </xf>
    <xf numFmtId="0" fontId="26" fillId="8" borderId="10" xfId="0" applyFont="1" applyFill="1" applyBorder="1" applyAlignment="1">
      <alignment horizontal="center" vertical="center"/>
    </xf>
    <xf numFmtId="164" fontId="26" fillId="8" borderId="11" xfId="0" applyNumberFormat="1" applyFont="1" applyFill="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164" fontId="26" fillId="8" borderId="43" xfId="0" applyNumberFormat="1" applyFont="1" applyFill="1" applyBorder="1" applyAlignment="1">
      <alignment horizontal="center" vertical="center"/>
    </xf>
    <xf numFmtId="0" fontId="29" fillId="4" borderId="13" xfId="0" applyFont="1" applyFill="1" applyBorder="1" applyAlignment="1">
      <alignment horizontal="center" vertical="center"/>
    </xf>
    <xf numFmtId="0" fontId="29" fillId="4" borderId="16" xfId="0" applyFont="1" applyFill="1" applyBorder="1" applyAlignment="1">
      <alignment horizontal="center" vertical="center"/>
    </xf>
    <xf numFmtId="0" fontId="29" fillId="4" borderId="18" xfId="0" applyFont="1" applyFill="1" applyBorder="1" applyAlignment="1">
      <alignment horizontal="center" vertical="center"/>
    </xf>
    <xf numFmtId="0" fontId="29" fillId="4" borderId="43" xfId="0" applyFont="1" applyFill="1" applyBorder="1" applyAlignment="1">
      <alignment horizontal="center" vertical="center"/>
    </xf>
    <xf numFmtId="1" fontId="17" fillId="8" borderId="10" xfId="0" applyNumberFormat="1" applyFont="1" applyFill="1" applyBorder="1" applyAlignment="1">
      <alignment horizontal="center" vertical="center"/>
    </xf>
    <xf numFmtId="165" fontId="17" fillId="8" borderId="10" xfId="0" applyNumberFormat="1" applyFont="1" applyFill="1" applyBorder="1" applyAlignment="1">
      <alignment horizontal="center" vertical="center"/>
    </xf>
    <xf numFmtId="164" fontId="17" fillId="8" borderId="11" xfId="0" applyNumberFormat="1" applyFont="1" applyFill="1" applyBorder="1" applyAlignment="1">
      <alignment horizontal="center" vertical="center"/>
    </xf>
    <xf numFmtId="0" fontId="17" fillId="8" borderId="9" xfId="0" applyFont="1" applyFill="1" applyBorder="1" applyAlignment="1">
      <alignment horizontal="center" vertical="center"/>
    </xf>
    <xf numFmtId="0" fontId="17" fillId="8" borderId="10" xfId="0" applyFont="1" applyFill="1" applyBorder="1" applyAlignment="1">
      <alignment horizontal="center" vertical="center"/>
    </xf>
    <xf numFmtId="0" fontId="17" fillId="8" borderId="11" xfId="0" applyFont="1" applyFill="1" applyBorder="1" applyAlignment="1">
      <alignment horizontal="center" vertical="center"/>
    </xf>
    <xf numFmtId="1" fontId="17" fillId="8" borderId="0" xfId="0" applyNumberFormat="1" applyFont="1" applyFill="1" applyBorder="1" applyAlignment="1">
      <alignment horizontal="center" vertical="center"/>
    </xf>
    <xf numFmtId="165" fontId="17" fillId="8" borderId="0" xfId="0" applyNumberFormat="1" applyFont="1" applyFill="1" applyBorder="1" applyAlignment="1">
      <alignment horizontal="center" vertical="center"/>
    </xf>
    <xf numFmtId="164" fontId="17" fillId="8" borderId="16" xfId="0" applyNumberFormat="1" applyFont="1" applyFill="1" applyBorder="1" applyAlignment="1">
      <alignment horizontal="center" vertical="center"/>
    </xf>
    <xf numFmtId="0" fontId="17" fillId="8" borderId="13"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16" xfId="0" applyFont="1" applyFill="1" applyBorder="1" applyAlignment="1">
      <alignment horizontal="center" vertical="center"/>
    </xf>
    <xf numFmtId="1" fontId="18" fillId="8" borderId="41" xfId="0" applyNumberFormat="1" applyFont="1" applyFill="1" applyBorder="1" applyAlignment="1">
      <alignment horizontal="center" vertical="center"/>
    </xf>
    <xf numFmtId="165" fontId="18" fillId="8" borderId="41" xfId="0" applyNumberFormat="1" applyFont="1" applyFill="1" applyBorder="1" applyAlignment="1">
      <alignment horizontal="center" vertical="center"/>
    </xf>
    <xf numFmtId="164" fontId="18" fillId="8" borderId="44" xfId="0" applyNumberFormat="1" applyFont="1" applyFill="1" applyBorder="1" applyAlignment="1">
      <alignment horizontal="center" vertical="center"/>
    </xf>
    <xf numFmtId="0" fontId="18" fillId="8" borderId="48" xfId="0" applyFont="1" applyFill="1" applyBorder="1" applyAlignment="1">
      <alignment horizontal="center" vertical="center"/>
    </xf>
    <xf numFmtId="0" fontId="18" fillId="8" borderId="41" xfId="0" applyFont="1" applyFill="1" applyBorder="1" applyAlignment="1">
      <alignment horizontal="center" vertical="center"/>
    </xf>
    <xf numFmtId="0" fontId="18" fillId="8" borderId="44" xfId="0" applyFont="1" applyFill="1" applyBorder="1" applyAlignment="1">
      <alignment horizontal="center" vertical="center"/>
    </xf>
    <xf numFmtId="1" fontId="18" fillId="8" borderId="42" xfId="0" applyNumberFormat="1" applyFont="1" applyFill="1" applyBorder="1" applyAlignment="1">
      <alignment horizontal="center" vertical="center"/>
    </xf>
    <xf numFmtId="165" fontId="18" fillId="8" borderId="42" xfId="0" applyNumberFormat="1" applyFont="1" applyFill="1" applyBorder="1" applyAlignment="1">
      <alignment horizontal="center" vertical="center"/>
    </xf>
    <xf numFmtId="164" fontId="18" fillId="8" borderId="46" xfId="0" applyNumberFormat="1" applyFont="1" applyFill="1" applyBorder="1" applyAlignment="1">
      <alignment horizontal="center" vertical="center"/>
    </xf>
    <xf numFmtId="0" fontId="18" fillId="8" borderId="47" xfId="0" applyFont="1" applyFill="1" applyBorder="1" applyAlignment="1">
      <alignment horizontal="center" vertical="center"/>
    </xf>
    <xf numFmtId="0" fontId="18" fillId="8" borderId="42" xfId="0" applyFont="1" applyFill="1" applyBorder="1" applyAlignment="1">
      <alignment horizontal="center" vertical="center"/>
    </xf>
    <xf numFmtId="0" fontId="18" fillId="8" borderId="46" xfId="0" applyFont="1" applyFill="1" applyBorder="1" applyAlignment="1">
      <alignment horizontal="center" vertical="center"/>
    </xf>
    <xf numFmtId="1" fontId="1" fillId="8" borderId="0" xfId="0" applyNumberFormat="1" applyFont="1" applyFill="1" applyBorder="1" applyAlignment="1">
      <alignment horizontal="center" vertical="center"/>
    </xf>
    <xf numFmtId="165" fontId="1" fillId="8" borderId="0" xfId="0" applyNumberFormat="1" applyFont="1" applyFill="1" applyBorder="1" applyAlignment="1">
      <alignment horizontal="center" vertical="center"/>
    </xf>
    <xf numFmtId="164" fontId="1" fillId="8" borderId="16" xfId="0" applyNumberFormat="1" applyFont="1" applyFill="1" applyBorder="1" applyAlignment="1">
      <alignment horizontal="center" vertical="center"/>
    </xf>
    <xf numFmtId="0" fontId="1" fillId="8" borderId="13"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16" xfId="0" applyFont="1" applyFill="1" applyBorder="1" applyAlignment="1">
      <alignment horizontal="center" vertical="center"/>
    </xf>
    <xf numFmtId="0" fontId="10" fillId="8" borderId="0" xfId="0" applyFont="1" applyFill="1" applyBorder="1" applyAlignment="1">
      <alignment horizontal="center" vertical="center"/>
    </xf>
    <xf numFmtId="165" fontId="10" fillId="8" borderId="0"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0" fillId="8" borderId="13" xfId="0" applyFont="1" applyFill="1" applyBorder="1" applyAlignment="1">
      <alignment horizontal="center" vertical="center"/>
    </xf>
    <xf numFmtId="0" fontId="10" fillId="8" borderId="19" xfId="0" applyFont="1" applyFill="1" applyBorder="1" applyAlignment="1">
      <alignment horizontal="center" vertical="center"/>
    </xf>
    <xf numFmtId="165" fontId="10" fillId="8" borderId="19" xfId="0" applyNumberFormat="1" applyFont="1" applyFill="1" applyBorder="1" applyAlignment="1">
      <alignment horizontal="center" vertical="center"/>
    </xf>
    <xf numFmtId="0" fontId="10" fillId="8" borderId="43" xfId="0" applyFont="1" applyFill="1" applyBorder="1" applyAlignment="1">
      <alignment horizontal="center" vertical="center"/>
    </xf>
    <xf numFmtId="0" fontId="10" fillId="8" borderId="18" xfId="0" applyFont="1" applyFill="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164" fontId="2" fillId="4" borderId="8" xfId="0" applyNumberFormat="1" applyFont="1" applyFill="1" applyBorder="1" applyAlignment="1">
      <alignment horizontal="center" vertical="center"/>
    </xf>
    <xf numFmtId="0" fontId="2" fillId="4" borderId="12"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13" xfId="0" applyFont="1" applyFill="1" applyBorder="1" applyAlignment="1">
      <alignment horizontal="center" vertical="center"/>
    </xf>
    <xf numFmtId="0" fontId="18" fillId="4" borderId="48" xfId="0" applyFont="1" applyFill="1" applyBorder="1" applyAlignment="1">
      <alignment horizontal="center" vertical="center" wrapText="1"/>
    </xf>
    <xf numFmtId="0" fontId="1" fillId="4" borderId="18" xfId="0" applyFont="1" applyFill="1" applyBorder="1" applyAlignment="1">
      <alignment horizontal="center" vertical="center"/>
    </xf>
    <xf numFmtId="0" fontId="0" fillId="8" borderId="9" xfId="0" applyFill="1" applyBorder="1" applyAlignment="1">
      <alignment horizontal="center" vertical="center"/>
    </xf>
    <xf numFmtId="164" fontId="0" fillId="8" borderId="11" xfId="0" applyNumberFormat="1" applyFill="1" applyBorder="1" applyAlignment="1">
      <alignment horizontal="center" vertical="center"/>
    </xf>
    <xf numFmtId="0" fontId="0" fillId="8" borderId="13" xfId="0" applyFill="1" applyBorder="1" applyAlignment="1">
      <alignment horizontal="center" vertical="center"/>
    </xf>
    <xf numFmtId="164" fontId="0" fillId="8" borderId="16" xfId="0" applyNumberFormat="1" applyFill="1" applyBorder="1" applyAlignment="1">
      <alignment horizontal="center" vertical="center"/>
    </xf>
    <xf numFmtId="0" fontId="0" fillId="8" borderId="48" xfId="0" applyFill="1" applyBorder="1" applyAlignment="1">
      <alignment horizontal="center" vertical="center"/>
    </xf>
    <xf numFmtId="164" fontId="0" fillId="8" borderId="44" xfId="0" applyNumberFormat="1" applyFill="1" applyBorder="1" applyAlignment="1">
      <alignment horizontal="center" vertical="center"/>
    </xf>
    <xf numFmtId="0" fontId="0" fillId="8" borderId="47" xfId="0" applyFill="1" applyBorder="1" applyAlignment="1">
      <alignment horizontal="center" vertical="center"/>
    </xf>
    <xf numFmtId="164" fontId="0" fillId="8" borderId="46" xfId="0" applyNumberFormat="1" applyFill="1" applyBorder="1" applyAlignment="1">
      <alignment horizontal="center" vertical="center"/>
    </xf>
    <xf numFmtId="0" fontId="0" fillId="8" borderId="18" xfId="0" applyFill="1" applyBorder="1" applyAlignment="1">
      <alignment horizontal="center" vertical="center"/>
    </xf>
    <xf numFmtId="164" fontId="0" fillId="8" borderId="43" xfId="0" applyNumberFormat="1" applyFill="1" applyBorder="1" applyAlignment="1">
      <alignment horizontal="center" vertical="center"/>
    </xf>
    <xf numFmtId="0" fontId="18" fillId="4" borderId="47" xfId="0" applyFont="1" applyFill="1" applyBorder="1" applyAlignment="1">
      <alignment horizontal="center" vertical="center" wrapText="1"/>
    </xf>
    <xf numFmtId="1" fontId="0" fillId="0" borderId="0" xfId="0" applyNumberFormat="1"/>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164" fontId="17" fillId="8" borderId="0" xfId="0" applyNumberFormat="1" applyFont="1" applyFill="1" applyBorder="1" applyAlignment="1">
      <alignment horizontal="center" vertical="center"/>
    </xf>
    <xf numFmtId="164" fontId="18" fillId="8" borderId="41" xfId="0" applyNumberFormat="1" applyFont="1" applyFill="1" applyBorder="1" applyAlignment="1">
      <alignment horizontal="center" vertical="center"/>
    </xf>
    <xf numFmtId="0" fontId="18" fillId="8" borderId="13" xfId="0" applyFont="1" applyFill="1" applyBorder="1" applyAlignment="1">
      <alignment horizontal="center" vertical="center"/>
    </xf>
    <xf numFmtId="0" fontId="18" fillId="8" borderId="0" xfId="0" applyFont="1" applyFill="1" applyBorder="1" applyAlignment="1">
      <alignment horizontal="center" vertical="center"/>
    </xf>
    <xf numFmtId="0" fontId="18" fillId="8" borderId="16" xfId="0" applyFont="1" applyFill="1" applyBorder="1" applyAlignment="1">
      <alignment horizontal="center" vertical="center"/>
    </xf>
    <xf numFmtId="164" fontId="18" fillId="8" borderId="42" xfId="0" applyNumberFormat="1" applyFont="1" applyFill="1" applyBorder="1" applyAlignment="1">
      <alignment horizontal="center" vertical="center"/>
    </xf>
    <xf numFmtId="164" fontId="1" fillId="8" borderId="0" xfId="0" applyNumberFormat="1" applyFont="1" applyFill="1" applyBorder="1" applyAlignment="1">
      <alignment horizontal="center" vertical="center"/>
    </xf>
    <xf numFmtId="0" fontId="10" fillId="8" borderId="0" xfId="0" applyFont="1" applyFill="1" applyAlignment="1">
      <alignment horizontal="center" vertical="center"/>
    </xf>
    <xf numFmtId="0" fontId="17" fillId="4" borderId="16" xfId="0" applyFont="1" applyFill="1" applyBorder="1" applyAlignment="1">
      <alignment horizontal="center" vertical="center"/>
    </xf>
    <xf numFmtId="0" fontId="18" fillId="4" borderId="44" xfId="0" applyFont="1" applyFill="1" applyBorder="1" applyAlignment="1">
      <alignment horizontal="center" vertical="center" wrapText="1"/>
    </xf>
    <xf numFmtId="1" fontId="0" fillId="8" borderId="19" xfId="0" applyNumberFormat="1" applyFill="1" applyBorder="1" applyAlignment="1">
      <alignment horizontal="center"/>
    </xf>
    <xf numFmtId="164" fontId="0" fillId="8" borderId="19" xfId="0" applyNumberFormat="1" applyFill="1" applyBorder="1" applyAlignment="1">
      <alignment horizontal="center"/>
    </xf>
    <xf numFmtId="0" fontId="18" fillId="4" borderId="16"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1" xfId="0" applyFont="1" applyFill="1" applyBorder="1" applyAlignment="1">
      <alignment horizontal="center" vertical="center"/>
    </xf>
    <xf numFmtId="49" fontId="22" fillId="6" borderId="23" xfId="0" applyNumberFormat="1" applyFont="1" applyFill="1" applyBorder="1" applyAlignment="1">
      <alignment horizontal="left" vertical="center"/>
    </xf>
    <xf numFmtId="49" fontId="0" fillId="6" borderId="23" xfId="0" applyNumberFormat="1" applyFill="1" applyBorder="1"/>
    <xf numFmtId="49" fontId="22" fillId="6" borderId="23" xfId="0" applyNumberFormat="1" applyFont="1" applyFill="1" applyBorder="1" applyAlignment="1">
      <alignment horizontal="center" vertical="center" wrapText="1"/>
    </xf>
    <xf numFmtId="49" fontId="6" fillId="6" borderId="23" xfId="0" applyNumberFormat="1" applyFont="1" applyFill="1" applyBorder="1" applyAlignment="1">
      <alignment horizontal="center" vertical="center" wrapText="1"/>
    </xf>
    <xf numFmtId="164" fontId="22" fillId="6" borderId="30" xfId="0" applyNumberFormat="1" applyFont="1" applyFill="1" applyBorder="1" applyAlignment="1">
      <alignment horizontal="center" vertical="center" wrapText="1"/>
    </xf>
    <xf numFmtId="164" fontId="6" fillId="6" borderId="27" xfId="0" applyNumberFormat="1" applyFont="1" applyFill="1" applyBorder="1" applyAlignment="1">
      <alignment horizontal="center" vertical="center" wrapText="1"/>
    </xf>
    <xf numFmtId="164" fontId="6" fillId="6" borderId="30" xfId="0" applyNumberFormat="1" applyFont="1" applyFill="1" applyBorder="1" applyAlignment="1">
      <alignment horizontal="center" vertical="center" wrapText="1"/>
    </xf>
    <xf numFmtId="0" fontId="30" fillId="6" borderId="30" xfId="0" applyFont="1" applyFill="1" applyBorder="1" applyAlignment="1">
      <alignment horizontal="center" vertical="center" wrapText="1"/>
    </xf>
    <xf numFmtId="0" fontId="30" fillId="6" borderId="23" xfId="0" applyFont="1" applyFill="1" applyBorder="1" applyAlignment="1">
      <alignment horizontal="center" vertical="center" wrapText="1"/>
    </xf>
    <xf numFmtId="1" fontId="17" fillId="8" borderId="9" xfId="0" applyNumberFormat="1" applyFont="1" applyFill="1" applyBorder="1" applyAlignment="1">
      <alignment horizontal="center" vertical="center"/>
    </xf>
    <xf numFmtId="1" fontId="17" fillId="8" borderId="18" xfId="0" applyNumberFormat="1" applyFont="1" applyFill="1" applyBorder="1" applyAlignment="1">
      <alignment horizontal="center" vertical="center"/>
    </xf>
    <xf numFmtId="1" fontId="17" fillId="8" borderId="19" xfId="0" applyNumberFormat="1" applyFont="1" applyFill="1" applyBorder="1" applyAlignment="1">
      <alignment horizontal="center" vertical="center"/>
    </xf>
    <xf numFmtId="164" fontId="17" fillId="8" borderId="43" xfId="0" applyNumberFormat="1" applyFont="1" applyFill="1" applyBorder="1" applyAlignment="1">
      <alignment horizontal="center" vertical="center"/>
    </xf>
    <xf numFmtId="1" fontId="18" fillId="8" borderId="10" xfId="0" applyNumberFormat="1" applyFont="1" applyFill="1" applyBorder="1" applyAlignment="1">
      <alignment horizontal="center" vertical="center"/>
    </xf>
    <xf numFmtId="164" fontId="18" fillId="8" borderId="11" xfId="0" applyNumberFormat="1" applyFont="1" applyFill="1" applyBorder="1" applyAlignment="1">
      <alignment horizontal="center" vertical="center"/>
    </xf>
    <xf numFmtId="0" fontId="18" fillId="8" borderId="9" xfId="0" applyFont="1" applyFill="1" applyBorder="1" applyAlignment="1">
      <alignment horizontal="center" vertical="center"/>
    </xf>
    <xf numFmtId="0" fontId="18" fillId="8" borderId="10" xfId="0" applyFont="1" applyFill="1" applyBorder="1" applyAlignment="1">
      <alignment horizontal="center" vertical="center"/>
    </xf>
    <xf numFmtId="0" fontId="18" fillId="8" borderId="11" xfId="0" applyFont="1" applyFill="1" applyBorder="1" applyAlignment="1">
      <alignment horizontal="center" vertical="center"/>
    </xf>
    <xf numFmtId="1" fontId="18" fillId="8" borderId="19" xfId="0" applyNumberFormat="1" applyFont="1" applyFill="1" applyBorder="1" applyAlignment="1">
      <alignment horizontal="center" vertical="center"/>
    </xf>
    <xf numFmtId="164" fontId="18" fillId="8" borderId="43" xfId="0" applyNumberFormat="1" applyFont="1" applyFill="1" applyBorder="1" applyAlignment="1">
      <alignment horizontal="center" vertical="center"/>
    </xf>
    <xf numFmtId="0" fontId="18" fillId="8" borderId="18" xfId="0" applyFont="1" applyFill="1" applyBorder="1" applyAlignment="1">
      <alignment horizontal="center" vertical="center"/>
    </xf>
    <xf numFmtId="0" fontId="18" fillId="8" borderId="19" xfId="0" applyFont="1" applyFill="1" applyBorder="1" applyAlignment="1">
      <alignment horizontal="center" vertical="center"/>
    </xf>
    <xf numFmtId="0" fontId="18" fillId="8" borderId="43" xfId="0" applyFont="1" applyFill="1" applyBorder="1" applyAlignment="1">
      <alignment horizontal="center" vertical="center"/>
    </xf>
    <xf numFmtId="0" fontId="1" fillId="8" borderId="9" xfId="0" applyFont="1" applyFill="1" applyBorder="1" applyAlignment="1">
      <alignment horizontal="center" vertical="center"/>
    </xf>
    <xf numFmtId="0" fontId="1" fillId="8" borderId="10" xfId="0" applyFont="1" applyFill="1" applyBorder="1" applyAlignment="1">
      <alignment horizontal="center" vertical="center"/>
    </xf>
    <xf numFmtId="0" fontId="1" fillId="8" borderId="11" xfId="0" applyFont="1" applyFill="1" applyBorder="1" applyAlignment="1">
      <alignment horizontal="center" vertical="center"/>
    </xf>
    <xf numFmtId="0" fontId="29" fillId="8" borderId="0" xfId="0" applyFont="1" applyFill="1" applyBorder="1" applyAlignment="1">
      <alignment horizontal="center" vertical="center"/>
    </xf>
    <xf numFmtId="0" fontId="29" fillId="8" borderId="0" xfId="0" applyFont="1" applyFill="1" applyAlignment="1">
      <alignment horizontal="center" vertical="center"/>
    </xf>
    <xf numFmtId="0" fontId="1" fillId="8" borderId="18" xfId="0" applyFont="1" applyFill="1" applyBorder="1" applyAlignment="1">
      <alignment horizontal="center" vertical="center"/>
    </xf>
    <xf numFmtId="0" fontId="1" fillId="8" borderId="19" xfId="0" applyFont="1" applyFill="1" applyBorder="1" applyAlignment="1">
      <alignment horizontal="center" vertical="center"/>
    </xf>
    <xf numFmtId="0" fontId="1" fillId="8" borderId="43" xfId="0" applyFont="1" applyFill="1" applyBorder="1" applyAlignment="1">
      <alignment horizontal="center" vertical="center"/>
    </xf>
    <xf numFmtId="0" fontId="17" fillId="4" borderId="17" xfId="0" applyFont="1" applyFill="1" applyBorder="1" applyAlignment="1">
      <alignment horizontal="center" vertical="center"/>
    </xf>
    <xf numFmtId="0" fontId="17" fillId="4" borderId="49" xfId="0" applyFont="1" applyFill="1" applyBorder="1" applyAlignment="1">
      <alignment horizontal="center" vertical="center"/>
    </xf>
    <xf numFmtId="0" fontId="18" fillId="4" borderId="17" xfId="0" applyFont="1" applyFill="1" applyBorder="1" applyAlignment="1">
      <alignment horizontal="center" vertical="center" wrapText="1"/>
    </xf>
    <xf numFmtId="0" fontId="18" fillId="4" borderId="52" xfId="0" applyFont="1" applyFill="1" applyBorder="1" applyAlignment="1">
      <alignment horizontal="center" vertical="center"/>
    </xf>
    <xf numFmtId="0" fontId="1" fillId="4" borderId="49" xfId="0" applyFont="1" applyFill="1" applyBorder="1" applyAlignment="1">
      <alignment horizontal="center" vertical="center"/>
    </xf>
    <xf numFmtId="0" fontId="0" fillId="8" borderId="0" xfId="0" applyFill="1" applyBorder="1" applyAlignment="1">
      <alignment horizontal="center" vertical="center"/>
    </xf>
    <xf numFmtId="0" fontId="0" fillId="8" borderId="42" xfId="0" applyFill="1" applyBorder="1" applyAlignment="1">
      <alignment horizontal="center" vertical="center"/>
    </xf>
    <xf numFmtId="0" fontId="0" fillId="8" borderId="19" xfId="0" applyFill="1" applyBorder="1" applyAlignment="1">
      <alignment horizontal="center" vertical="center"/>
    </xf>
    <xf numFmtId="0" fontId="0" fillId="0" borderId="0" xfId="0" applyFill="1" applyBorder="1" applyAlignment="1">
      <alignment horizontal="center" vertical="center" wrapText="1"/>
    </xf>
    <xf numFmtId="0" fontId="5" fillId="0" borderId="32" xfId="0" applyFont="1" applyBorder="1" applyAlignment="1">
      <alignment horizontal="center"/>
    </xf>
    <xf numFmtId="0" fontId="5" fillId="0" borderId="39" xfId="0" applyFont="1" applyBorder="1" applyAlignment="1">
      <alignment horizontal="center"/>
    </xf>
    <xf numFmtId="0" fontId="5" fillId="0" borderId="22" xfId="0" applyFont="1" applyBorder="1" applyAlignment="1">
      <alignment horizontal="center"/>
    </xf>
    <xf numFmtId="0" fontId="3" fillId="4" borderId="37"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48" xfId="0" applyFont="1" applyFill="1" applyBorder="1" applyAlignment="1">
      <alignment horizontal="center" wrapText="1"/>
    </xf>
    <xf numFmtId="0" fontId="3" fillId="4" borderId="41" xfId="0" applyFont="1" applyFill="1" applyBorder="1" applyAlignment="1">
      <alignment horizontal="center" wrapText="1"/>
    </xf>
    <xf numFmtId="0" fontId="3" fillId="4" borderId="44" xfId="0" applyFont="1" applyFill="1" applyBorder="1" applyAlignment="1">
      <alignment horizontal="center" wrapText="1"/>
    </xf>
    <xf numFmtId="0" fontId="3" fillId="4" borderId="13" xfId="0" applyFont="1" applyFill="1" applyBorder="1" applyAlignment="1">
      <alignment horizontal="center" wrapText="1"/>
    </xf>
    <xf numFmtId="0" fontId="3" fillId="4" borderId="0" xfId="0" applyFont="1" applyFill="1" applyBorder="1" applyAlignment="1">
      <alignment horizontal="center" wrapText="1"/>
    </xf>
    <xf numFmtId="0" fontId="3" fillId="4" borderId="16" xfId="0" applyFont="1" applyFill="1" applyBorder="1" applyAlignment="1">
      <alignment horizontal="center" wrapText="1"/>
    </xf>
    <xf numFmtId="0" fontId="5" fillId="0" borderId="23" xfId="0" applyFont="1" applyBorder="1" applyAlignment="1">
      <alignment horizontal="center"/>
    </xf>
    <xf numFmtId="0" fontId="5" fillId="0" borderId="32" xfId="0" applyFont="1" applyBorder="1" applyAlignment="1">
      <alignment horizontal="center" vertical="center"/>
    </xf>
    <xf numFmtId="0" fontId="5" fillId="0" borderId="39" xfId="0" applyFont="1" applyBorder="1" applyAlignment="1">
      <alignment horizontal="center" vertical="center"/>
    </xf>
    <xf numFmtId="0" fontId="5" fillId="0" borderId="22" xfId="0" applyFont="1" applyBorder="1" applyAlignment="1">
      <alignment horizontal="center" vertical="center"/>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2" fillId="2" borderId="35"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6" xfId="0" applyFont="1" applyFill="1" applyBorder="1" applyAlignment="1">
      <alignment horizontal="center" vertical="center"/>
    </xf>
    <xf numFmtId="0" fontId="3" fillId="4" borderId="48"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6" fillId="0" borderId="32" xfId="0" applyFont="1" applyFill="1" applyBorder="1" applyAlignment="1">
      <alignment horizontal="center"/>
    </xf>
    <xf numFmtId="0" fontId="6" fillId="0" borderId="39" xfId="0" applyFont="1" applyFill="1" applyBorder="1" applyAlignment="1">
      <alignment horizontal="center"/>
    </xf>
    <xf numFmtId="0" fontId="6" fillId="0" borderId="22" xfId="0" applyFont="1" applyFill="1" applyBorder="1" applyAlignment="1">
      <alignment horizontal="center"/>
    </xf>
    <xf numFmtId="0" fontId="5" fillId="0" borderId="32" xfId="0" applyFont="1" applyFill="1" applyBorder="1" applyAlignment="1">
      <alignment horizontal="center"/>
    </xf>
    <xf numFmtId="0" fontId="5" fillId="0" borderId="39" xfId="0" applyFont="1" applyFill="1" applyBorder="1" applyAlignment="1">
      <alignment horizontal="center"/>
    </xf>
    <xf numFmtId="0" fontId="5" fillId="0" borderId="22" xfId="0" applyFont="1" applyFill="1" applyBorder="1" applyAlignment="1">
      <alignment horizontal="center"/>
    </xf>
    <xf numFmtId="0" fontId="5" fillId="0" borderId="33" xfId="0" applyFont="1" applyFill="1" applyBorder="1" applyAlignment="1">
      <alignment horizontal="center"/>
    </xf>
    <xf numFmtId="0" fontId="5" fillId="0" borderId="40" xfId="0" applyFont="1" applyFill="1" applyBorder="1" applyAlignment="1">
      <alignment horizontal="center"/>
    </xf>
    <xf numFmtId="0" fontId="5" fillId="0" borderId="24" xfId="0" applyFont="1" applyFill="1" applyBorder="1" applyAlignment="1">
      <alignment horizontal="center"/>
    </xf>
    <xf numFmtId="0" fontId="3" fillId="4" borderId="14" xfId="0" applyFont="1" applyFill="1" applyBorder="1" applyAlignment="1">
      <alignment horizontal="center" vertical="center"/>
    </xf>
    <xf numFmtId="0" fontId="3" fillId="4" borderId="23" xfId="0" applyFont="1" applyFill="1" applyBorder="1" applyAlignment="1">
      <alignment horizontal="center" vertical="center"/>
    </xf>
    <xf numFmtId="0" fontId="5" fillId="0" borderId="23" xfId="0" applyFont="1" applyFill="1" applyBorder="1" applyAlignment="1">
      <alignment horizontal="center"/>
    </xf>
    <xf numFmtId="0" fontId="27" fillId="4" borderId="14" xfId="0" applyFont="1" applyFill="1" applyBorder="1" applyAlignment="1">
      <alignment horizontal="center" vertical="center"/>
    </xf>
    <xf numFmtId="0" fontId="27" fillId="4" borderId="23" xfId="0" applyFont="1" applyFill="1" applyBorder="1" applyAlignment="1">
      <alignment horizontal="center" vertical="center"/>
    </xf>
    <xf numFmtId="0" fontId="28" fillId="0" borderId="23" xfId="0" applyFont="1" applyFill="1" applyBorder="1" applyAlignment="1">
      <alignment horizontal="center"/>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6" xfId="0" applyFont="1" applyBorder="1" applyAlignment="1">
      <alignment horizontal="left" wrapText="1"/>
    </xf>
    <xf numFmtId="0" fontId="5" fillId="0" borderId="48"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47" xfId="0" applyFont="1" applyBorder="1" applyAlignment="1">
      <alignment horizontal="left" vertical="center" wrapText="1"/>
    </xf>
    <xf numFmtId="0" fontId="5" fillId="0" borderId="42" xfId="0" applyFont="1" applyBorder="1" applyAlignment="1">
      <alignment horizontal="left" vertical="center" wrapText="1"/>
    </xf>
    <xf numFmtId="0" fontId="5" fillId="0" borderId="46" xfId="0" applyFont="1" applyBorder="1" applyAlignment="1">
      <alignment horizontal="left" vertical="center" wrapText="1"/>
    </xf>
    <xf numFmtId="0" fontId="5" fillId="0" borderId="48"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6" xfId="0" applyFont="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7" fillId="4" borderId="18"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13"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9" xfId="0" applyFont="1" applyFill="1" applyBorder="1" applyAlignment="1">
      <alignment horizontal="center" vertical="center"/>
    </xf>
    <xf numFmtId="0" fontId="17" fillId="4" borderId="11" xfId="0" applyFont="1"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3" xfId="0" applyFont="1" applyBorder="1" applyAlignment="1">
      <alignment horizontal="center" vertical="center"/>
    </xf>
    <xf numFmtId="0" fontId="18" fillId="4" borderId="9"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43"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1"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0" fillId="4" borderId="7" xfId="0" applyFill="1" applyBorder="1" applyAlignment="1">
      <alignment horizontal="center" vertical="center"/>
    </xf>
    <xf numFmtId="0" fontId="26" fillId="4" borderId="6" xfId="0" applyFont="1" applyFill="1" applyBorder="1" applyAlignment="1">
      <alignment horizontal="center" vertical="center"/>
    </xf>
    <xf numFmtId="0" fontId="26" fillId="4" borderId="8" xfId="0" applyFont="1" applyFill="1" applyBorder="1" applyAlignment="1">
      <alignment horizontal="center" vertical="center"/>
    </xf>
    <xf numFmtId="0" fontId="26" fillId="4" borderId="18" xfId="0" applyFont="1" applyFill="1" applyBorder="1" applyAlignment="1">
      <alignment horizontal="center" vertical="center"/>
    </xf>
    <xf numFmtId="0" fontId="26" fillId="4" borderId="43" xfId="0" applyFont="1" applyFill="1" applyBorder="1" applyAlignment="1">
      <alignment horizontal="center" vertical="center"/>
    </xf>
    <xf numFmtId="0" fontId="2" fillId="4" borderId="12"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1" xfId="0" applyFont="1" applyFill="1" applyBorder="1" applyAlignment="1">
      <alignment horizontal="center" vertical="center"/>
    </xf>
    <xf numFmtId="0" fontId="17" fillId="4" borderId="9"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47" xfId="0" applyFont="1" applyFill="1" applyBorder="1" applyAlignment="1">
      <alignment horizontal="center" vertical="center"/>
    </xf>
    <xf numFmtId="0" fontId="17" fillId="4" borderId="46" xfId="0" applyFont="1" applyFill="1" applyBorder="1" applyAlignment="1">
      <alignment horizontal="center" vertical="center"/>
    </xf>
    <xf numFmtId="0" fontId="18" fillId="4" borderId="48" xfId="0" applyFont="1" applyFill="1" applyBorder="1" applyAlignment="1">
      <alignment horizontal="center" vertical="center"/>
    </xf>
    <xf numFmtId="0" fontId="18" fillId="4" borderId="44" xfId="0" applyFont="1" applyFill="1" applyBorder="1" applyAlignment="1">
      <alignment horizontal="center" vertical="center"/>
    </xf>
    <xf numFmtId="0" fontId="18" fillId="4" borderId="47" xfId="0" applyFont="1" applyFill="1" applyBorder="1" applyAlignment="1">
      <alignment horizontal="center" vertical="center"/>
    </xf>
    <xf numFmtId="0" fontId="18" fillId="4" borderId="46" xfId="0" applyFont="1" applyFill="1" applyBorder="1" applyAlignment="1">
      <alignment horizontal="center" vertical="center"/>
    </xf>
    <xf numFmtId="0" fontId="1" fillId="4" borderId="48" xfId="0" applyFont="1" applyFill="1" applyBorder="1" applyAlignment="1">
      <alignment horizontal="center" vertical="center"/>
    </xf>
    <xf numFmtId="0" fontId="1" fillId="4" borderId="4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9" xfId="0" applyFont="1" applyBorder="1" applyAlignment="1">
      <alignment horizontal="center"/>
    </xf>
    <xf numFmtId="0" fontId="2" fillId="0" borderId="43" xfId="0" applyFont="1" applyBorder="1" applyAlignment="1">
      <alignment horizontal="center"/>
    </xf>
    <xf numFmtId="0" fontId="18" fillId="4" borderId="13"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5" xfId="0" applyFont="1" applyFill="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49" xfId="0" applyFont="1" applyFill="1" applyBorder="1" applyAlignment="1">
      <alignment vertical="center"/>
    </xf>
    <xf numFmtId="0" fontId="3" fillId="4" borderId="19" xfId="0" applyFont="1" applyFill="1" applyBorder="1" applyAlignment="1">
      <alignment horizontal="center" vertical="center"/>
    </xf>
    <xf numFmtId="0" fontId="3" fillId="4" borderId="9"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9" xfId="0" applyFont="1" applyFill="1" applyBorder="1" applyAlignment="1">
      <alignment horizontal="center" vertical="center" wrapText="1"/>
    </xf>
  </cellXfs>
  <cellStyles count="1">
    <cellStyle name="Normal" xfId="0" builtinId="0"/>
  </cellStyles>
  <dxfs count="1">
    <dxf>
      <font>
        <b/>
        <i val="0"/>
        <color rgb="FFFF0000"/>
      </font>
    </dxf>
  </dxfs>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Split of DW codes (all 17 except 17 05) by outcome</a:t>
            </a:r>
          </a:p>
        </c:rich>
      </c:tx>
      <c:layout>
        <c:manualLayout>
          <c:xMode val="edge"/>
          <c:yMode val="edge"/>
          <c:x val="0.26880108653806212"/>
          <c:y val="1.05868304923423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8031723143475127E-2"/>
          <c:y val="9.6784272507608266E-2"/>
          <c:w val="0.85581612259976203"/>
          <c:h val="0.66348498745349138"/>
        </c:manualLayout>
      </c:layout>
      <c:barChart>
        <c:barDir val="bar"/>
        <c:grouping val="stacked"/>
        <c:varyColors val="0"/>
        <c:ser>
          <c:idx val="0"/>
          <c:order val="0"/>
          <c:tx>
            <c:strRef>
              <c:f>'L2 DW inventory-estimate'!$AD$4</c:f>
              <c:strCache>
                <c:ptCount val="1"/>
                <c:pt idx="0">
                  <c:v>Reuse (element)</c:v>
                </c:pt>
              </c:strCache>
            </c:strRef>
          </c:tx>
          <c:spPr>
            <a:solidFill>
              <a:srgbClr val="00B050"/>
            </a:solidFill>
            <a:ln w="12700">
              <a:solidFill>
                <a:schemeClr val="tx1"/>
              </a:solidFill>
            </a:ln>
            <a:effectLst/>
          </c:spPr>
          <c:invertIfNegative val="0"/>
          <c:dPt>
            <c:idx val="0"/>
            <c:invertIfNegative val="0"/>
            <c:bubble3D val="0"/>
            <c:spPr>
              <a:solidFill>
                <a:srgbClr val="00B050"/>
              </a:solidFill>
              <a:ln w="12700">
                <a:solidFill>
                  <a:schemeClr val="tx1"/>
                </a:solidFill>
              </a:ln>
              <a:effectLst/>
            </c:spPr>
            <c:extLst>
              <c:ext xmlns:c16="http://schemas.microsoft.com/office/drawing/2014/chart" uri="{C3380CC4-5D6E-409C-BE32-E72D297353CC}">
                <c16:uniqueId val="{00000001-4B5E-4E3E-BE4E-331DAA573492}"/>
              </c:ext>
            </c:extLst>
          </c:dPt>
          <c:dLbls>
            <c:dLbl>
              <c:idx val="0"/>
              <c:layout>
                <c:manualLayout>
                  <c:x val="4.6168251011691287E-2"/>
                  <c:y val="-0.15607966672889037"/>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B5E-4E3E-BE4E-331DAA573492}"/>
                </c:ext>
              </c:extLst>
            </c:dLbl>
            <c:dLbl>
              <c:idx val="1"/>
              <c:layout>
                <c:manualLayout>
                  <c:x val="4.0397219635229922E-2"/>
                  <c:y val="-0.16029803609994148"/>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B5E-4E3E-BE4E-331DAA573492}"/>
                </c:ext>
              </c:extLst>
            </c:dLbl>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'L2 DW inventory-estimate'!$AD$2:$AE$2</c:f>
              <c:strCache>
                <c:ptCount val="2"/>
                <c:pt idx="0">
                  <c:v>Probable outcome</c:v>
                </c:pt>
                <c:pt idx="1">
                  <c:v>Best outcome</c:v>
                </c:pt>
              </c:strCache>
            </c:strRef>
          </c:cat>
          <c:val>
            <c:numRef>
              <c:f>('L2 DW inventory-estimate'!$R$4,'L2 DW inventory-estimate'!$AF$4)</c:f>
              <c:numCache>
                <c:formatCode>0.0%</c:formatCode>
                <c:ptCount val="2"/>
                <c:pt idx="0">
                  <c:v>8.6545695017408997E-2</c:v>
                </c:pt>
                <c:pt idx="1">
                  <c:v>0.11029028313756993</c:v>
                </c:pt>
              </c:numCache>
            </c:numRef>
          </c:val>
          <c:extLst>
            <c:ext xmlns:c16="http://schemas.microsoft.com/office/drawing/2014/chart" uri="{C3380CC4-5D6E-409C-BE32-E72D297353CC}">
              <c16:uniqueId val="{00000003-4B5E-4E3E-BE4E-331DAA573492}"/>
            </c:ext>
          </c:extLst>
        </c:ser>
        <c:ser>
          <c:idx val="1"/>
          <c:order val="1"/>
          <c:tx>
            <c:strRef>
              <c:f>'L2 DW inventory-estimate'!$AD$5</c:f>
              <c:strCache>
                <c:ptCount val="1"/>
                <c:pt idx="0">
                  <c:v>Reuse (material)</c:v>
                </c:pt>
              </c:strCache>
            </c:strRef>
          </c:tx>
          <c:spPr>
            <a:solidFill>
              <a:srgbClr val="00B050"/>
            </a:solidFill>
            <a:ln w="12700">
              <a:solidFill>
                <a:schemeClr val="tx1"/>
              </a:solidFill>
            </a:ln>
            <a:effectLst/>
          </c:spPr>
          <c:invertIfNegative val="0"/>
          <c:dLbls>
            <c:dLbl>
              <c:idx val="0"/>
              <c:layout>
                <c:manualLayout>
                  <c:x val="6.1276659392529097E-2"/>
                  <c:y val="-0.15774534494859832"/>
                </c:manualLayout>
              </c:layout>
              <c:spPr>
                <a:noFill/>
                <a:ln>
                  <a:solidFill>
                    <a:schemeClr val="tx1"/>
                  </a:solidFill>
                </a:ln>
                <a:effectLst/>
              </c:spPr>
              <c:txPr>
                <a:bodyPr rot="0" spcFirstLastPara="1" vertOverflow="ellipsis" vert="horz" wrap="square" lIns="38100" tIns="19050" rIns="38100" bIns="19050" anchor="ctr" anchorCtr="1">
                  <a:noAutofit/>
                </a:bodyPr>
                <a:lstStyle/>
                <a:p>
                  <a:pPr>
                    <a:defRPr sz="900" b="0"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0465466686701557E-2"/>
                      <c:h val="6.2143160543554087E-2"/>
                    </c:manualLayout>
                  </c15:layout>
                </c:ext>
                <c:ext xmlns:c16="http://schemas.microsoft.com/office/drawing/2014/chart" uri="{C3380CC4-5D6E-409C-BE32-E72D297353CC}">
                  <c16:uniqueId val="{00000005-4B5E-4E3E-BE4E-331DAA573492}"/>
                </c:ext>
              </c:extLst>
            </c:dLbl>
            <c:dLbl>
              <c:idx val="1"/>
              <c:layout>
                <c:manualLayout>
                  <c:x val="5.5148738421921084E-2"/>
                  <c:y val="-0.16218924046159691"/>
                </c:manualLayout>
              </c:layout>
              <c:spPr>
                <a:noFill/>
                <a:ln>
                  <a:solidFill>
                    <a:schemeClr val="tx1"/>
                  </a:solidFill>
                </a:ln>
                <a:effectLst/>
              </c:spPr>
              <c:txPr>
                <a:bodyPr rot="0" spcFirstLastPara="1" vertOverflow="ellipsis" vert="horz" wrap="square" lIns="38100" tIns="19050" rIns="38100" bIns="19050" anchor="ctr" anchorCtr="1">
                  <a:noAutofit/>
                </a:bodyPr>
                <a:lstStyle/>
                <a:p>
                  <a:pPr>
                    <a:defRPr sz="900" b="0"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3966978264435798E-2"/>
                      <c:h val="6.2143160543554087E-2"/>
                    </c:manualLayout>
                  </c15:layout>
                </c:ext>
                <c:ext xmlns:c16="http://schemas.microsoft.com/office/drawing/2014/chart" uri="{C3380CC4-5D6E-409C-BE32-E72D297353CC}">
                  <c16:uniqueId val="{00000006-4B5E-4E3E-BE4E-331DAA573492}"/>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'L2 DW inventory-estimate'!$AD$2:$AE$2</c:f>
              <c:strCache>
                <c:ptCount val="2"/>
                <c:pt idx="0">
                  <c:v>Probable outcome</c:v>
                </c:pt>
                <c:pt idx="1">
                  <c:v>Best outcome</c:v>
                </c:pt>
              </c:strCache>
            </c:strRef>
          </c:cat>
          <c:val>
            <c:numRef>
              <c:f>('L2 DW inventory-estimate'!$R$5,'L2 DW inventory-estimate'!$AF$5)</c:f>
              <c:numCache>
                <c:formatCode>0.0%</c:formatCode>
                <c:ptCount val="2"/>
                <c:pt idx="0">
                  <c:v>4.349475954721068E-3</c:v>
                </c:pt>
                <c:pt idx="1">
                  <c:v>4.3694480381866237E-3</c:v>
                </c:pt>
              </c:numCache>
            </c:numRef>
          </c:val>
          <c:extLst>
            <c:ext xmlns:c16="http://schemas.microsoft.com/office/drawing/2014/chart" uri="{C3380CC4-5D6E-409C-BE32-E72D297353CC}">
              <c16:uniqueId val="{00000007-4B5E-4E3E-BE4E-331DAA573492}"/>
            </c:ext>
          </c:extLst>
        </c:ser>
        <c:ser>
          <c:idx val="2"/>
          <c:order val="2"/>
          <c:tx>
            <c:strRef>
              <c:f>'L2 DW inventory-estimate'!$N$6:$O$6</c:f>
              <c:strCache>
                <c:ptCount val="2"/>
                <c:pt idx="0">
                  <c:v>Recycling of DW</c:v>
                </c:pt>
              </c:strCache>
            </c:strRef>
          </c:tx>
          <c:spPr>
            <a:solidFill>
              <a:srgbClr val="92D050"/>
            </a:solidFill>
            <a:ln w="12700">
              <a:solidFill>
                <a:schemeClr val="tx1"/>
              </a:solidFill>
            </a:ln>
            <a:effectLst/>
          </c:spPr>
          <c:invertIfNegative val="0"/>
          <c:dPt>
            <c:idx val="0"/>
            <c:invertIfNegative val="0"/>
            <c:bubble3D val="0"/>
            <c:spPr>
              <a:solidFill>
                <a:srgbClr val="92D050"/>
              </a:solidFill>
              <a:ln w="12700">
                <a:solidFill>
                  <a:schemeClr val="tx1"/>
                </a:solidFill>
              </a:ln>
              <a:effectLst/>
            </c:spPr>
            <c:extLst>
              <c:ext xmlns:c16="http://schemas.microsoft.com/office/drawing/2014/chart" uri="{C3380CC4-5D6E-409C-BE32-E72D297353CC}">
                <c16:uniqueId val="{00000009-4B5E-4E3E-BE4E-331DAA573492}"/>
              </c:ext>
            </c:extLst>
          </c:dPt>
          <c:dLbls>
            <c:dLbl>
              <c:idx val="0"/>
              <c:layout>
                <c:manualLayout>
                  <c:x val="-4.3282735323460685E-2"/>
                  <c:y val="-0.14764292798678827"/>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92D05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B5E-4E3E-BE4E-331DAA573492}"/>
                </c:ext>
              </c:extLst>
            </c:dLbl>
            <c:dLbl>
              <c:idx val="1"/>
              <c:layout>
                <c:manualLayout>
                  <c:x val="-5.594015119984462E-2"/>
                  <c:y val="-0.13445600069222116"/>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92D05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B5E-4E3E-BE4E-331DAA5734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92D05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'L2 DW inventory-estimate'!$AD$2:$AE$2</c:f>
              <c:strCache>
                <c:ptCount val="2"/>
                <c:pt idx="0">
                  <c:v>Probable outcome</c:v>
                </c:pt>
                <c:pt idx="1">
                  <c:v>Best outcome</c:v>
                </c:pt>
              </c:strCache>
            </c:strRef>
          </c:cat>
          <c:val>
            <c:numRef>
              <c:f>('L2 DW inventory-estimate'!$R$6,'L2 DW inventory-estimate'!$AF$6)</c:f>
              <c:numCache>
                <c:formatCode>0.0%</c:formatCode>
                <c:ptCount val="2"/>
                <c:pt idx="0">
                  <c:v>0.56878052677479696</c:v>
                </c:pt>
                <c:pt idx="1">
                  <c:v>0.86545695017408997</c:v>
                </c:pt>
              </c:numCache>
            </c:numRef>
          </c:val>
          <c:extLst>
            <c:ext xmlns:c16="http://schemas.microsoft.com/office/drawing/2014/chart" uri="{C3380CC4-5D6E-409C-BE32-E72D297353CC}">
              <c16:uniqueId val="{0000000B-4B5E-4E3E-BE4E-331DAA573492}"/>
            </c:ext>
          </c:extLst>
        </c:ser>
        <c:ser>
          <c:idx val="3"/>
          <c:order val="3"/>
          <c:tx>
            <c:strRef>
              <c:f>'L2 DW inventory-estimate'!$N$7:$O$7</c:f>
              <c:strCache>
                <c:ptCount val="2"/>
                <c:pt idx="0">
                  <c:v>Material recovery (backfill)</c:v>
                </c:pt>
              </c:strCache>
            </c:strRef>
          </c:tx>
          <c:spPr>
            <a:solidFill>
              <a:schemeClr val="accent4"/>
            </a:solidFill>
            <a:ln w="12700">
              <a:solidFill>
                <a:schemeClr val="tx1"/>
              </a:solidFill>
            </a:ln>
            <a:effectLst/>
          </c:spPr>
          <c:invertIfNegative val="0"/>
          <c:dPt>
            <c:idx val="0"/>
            <c:invertIfNegative val="0"/>
            <c:bubble3D val="0"/>
            <c:spPr>
              <a:solidFill>
                <a:schemeClr val="accent4"/>
              </a:solidFill>
              <a:ln w="12700">
                <a:solidFill>
                  <a:schemeClr val="tx1"/>
                </a:solidFill>
              </a:ln>
              <a:effectLst/>
            </c:spPr>
            <c:extLst>
              <c:ext xmlns:c16="http://schemas.microsoft.com/office/drawing/2014/chart" uri="{C3380CC4-5D6E-409C-BE32-E72D297353CC}">
                <c16:uniqueId val="{0000000D-4B5E-4E3E-BE4E-331DAA573492}"/>
              </c:ext>
            </c:extLst>
          </c:dPt>
          <c:dLbls>
            <c:dLbl>
              <c:idx val="0"/>
              <c:layout>
                <c:manualLayout>
                  <c:x val="-4.3282735323460733E-2"/>
                  <c:y val="-0.15186129735783929"/>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B5E-4E3E-BE4E-331DAA573492}"/>
                </c:ext>
              </c:extLst>
            </c:dLbl>
            <c:dLbl>
              <c:idx val="1"/>
              <c:layout>
                <c:manualLayout>
                  <c:x val="-7.7908923582229242E-2"/>
                  <c:y val="-0.15607966672889037"/>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B5E-4E3E-BE4E-331DAA573492}"/>
                </c:ext>
              </c:extLst>
            </c:dLbl>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'L2 DW inventory-estimate'!$AD$2:$AE$2</c:f>
              <c:strCache>
                <c:ptCount val="2"/>
                <c:pt idx="0">
                  <c:v>Probable outcome</c:v>
                </c:pt>
                <c:pt idx="1">
                  <c:v>Best outcome</c:v>
                </c:pt>
              </c:strCache>
            </c:strRef>
          </c:cat>
          <c:val>
            <c:numRef>
              <c:f>('L2 DW inventory-estimate'!$R$7,'L2 DW inventory-estimate'!$AF$7)</c:f>
              <c:numCache>
                <c:formatCode>0.0%</c:formatCode>
                <c:ptCount val="2"/>
                <c:pt idx="0">
                  <c:v>0.32044098360291945</c:v>
                </c:pt>
                <c:pt idx="1">
                  <c:v>0</c:v>
                </c:pt>
              </c:numCache>
            </c:numRef>
          </c:val>
          <c:extLst>
            <c:ext xmlns:c16="http://schemas.microsoft.com/office/drawing/2014/chart" uri="{C3380CC4-5D6E-409C-BE32-E72D297353CC}">
              <c16:uniqueId val="{0000000F-4B5E-4E3E-BE4E-331DAA573492}"/>
            </c:ext>
          </c:extLst>
        </c:ser>
        <c:ser>
          <c:idx val="4"/>
          <c:order val="4"/>
          <c:tx>
            <c:strRef>
              <c:f>'L2 DW inventory-estimate'!$N$8:$O$8</c:f>
              <c:strCache>
                <c:ptCount val="2"/>
                <c:pt idx="0">
                  <c:v>Energy recovery</c:v>
                </c:pt>
              </c:strCache>
            </c:strRef>
          </c:tx>
          <c:spPr>
            <a:solidFill>
              <a:schemeClr val="accent2"/>
            </a:solidFill>
            <a:ln w="12700">
              <a:solidFill>
                <a:schemeClr val="tx1"/>
              </a:solidFill>
            </a:ln>
            <a:effectLst/>
          </c:spPr>
          <c:invertIfNegative val="0"/>
          <c:dPt>
            <c:idx val="0"/>
            <c:invertIfNegative val="0"/>
            <c:bubble3D val="0"/>
            <c:spPr>
              <a:solidFill>
                <a:schemeClr val="accent2"/>
              </a:solidFill>
              <a:ln w="12700">
                <a:solidFill>
                  <a:schemeClr val="tx1"/>
                </a:solidFill>
              </a:ln>
              <a:effectLst/>
            </c:spPr>
            <c:extLst>
              <c:ext xmlns:c16="http://schemas.microsoft.com/office/drawing/2014/chart" uri="{C3380CC4-5D6E-409C-BE32-E72D297353CC}">
                <c16:uniqueId val="{00000011-4B5E-4E3E-BE4E-331DAA573492}"/>
              </c:ext>
            </c:extLst>
          </c:dPt>
          <c:dLbls>
            <c:dLbl>
              <c:idx val="0"/>
              <c:layout>
                <c:manualLayout>
                  <c:x val="-1.154206275292294E-2"/>
                  <c:y val="0.13076945050258384"/>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B5E-4E3E-BE4E-331DAA573492}"/>
                </c:ext>
              </c:extLst>
            </c:dLbl>
            <c:dLbl>
              <c:idx val="1"/>
              <c:layout>
                <c:manualLayout>
                  <c:x val="-4.3282735323460733E-2"/>
                  <c:y val="0.11811434238943055"/>
                </c:manualLayout>
              </c:layout>
              <c:spPr>
                <a:no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B5E-4E3E-BE4E-331DAA5734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'L2 DW inventory-estimate'!$AD$2:$AE$2</c:f>
              <c:strCache>
                <c:ptCount val="2"/>
                <c:pt idx="0">
                  <c:v>Probable outcome</c:v>
                </c:pt>
                <c:pt idx="1">
                  <c:v>Best outcome</c:v>
                </c:pt>
              </c:strCache>
            </c:strRef>
          </c:cat>
          <c:val>
            <c:numRef>
              <c:f>('L2 DW inventory-estimate'!$R$8,'L2 DW inventory-estimate'!$AF$8)</c:f>
              <c:numCache>
                <c:formatCode>0.0%</c:formatCode>
                <c:ptCount val="2"/>
                <c:pt idx="0">
                  <c:v>0</c:v>
                </c:pt>
                <c:pt idx="1">
                  <c:v>0</c:v>
                </c:pt>
              </c:numCache>
            </c:numRef>
          </c:val>
          <c:extLst>
            <c:ext xmlns:c16="http://schemas.microsoft.com/office/drawing/2014/chart" uri="{C3380CC4-5D6E-409C-BE32-E72D297353CC}">
              <c16:uniqueId val="{00000013-4B5E-4E3E-BE4E-331DAA573492}"/>
            </c:ext>
          </c:extLst>
        </c:ser>
        <c:ser>
          <c:idx val="5"/>
          <c:order val="5"/>
          <c:tx>
            <c:strRef>
              <c:f>'L2 DW inventory-estimate'!$AD$9</c:f>
              <c:strCache>
                <c:ptCount val="1"/>
                <c:pt idx="0">
                  <c:v>Disposal</c:v>
                </c:pt>
              </c:strCache>
            </c:strRef>
          </c:tx>
          <c:spPr>
            <a:solidFill>
              <a:srgbClr val="FF0000"/>
            </a:solidFill>
            <a:ln w="12700">
              <a:solidFill>
                <a:schemeClr val="tx1"/>
              </a:solidFill>
            </a:ln>
            <a:effectLst/>
          </c:spPr>
          <c:invertIfNegative val="0"/>
          <c:dPt>
            <c:idx val="0"/>
            <c:invertIfNegative val="0"/>
            <c:bubble3D val="0"/>
            <c:spPr>
              <a:solidFill>
                <a:srgbClr val="FF0000"/>
              </a:solidFill>
              <a:ln w="12700">
                <a:solidFill>
                  <a:schemeClr val="tx1"/>
                </a:solidFill>
              </a:ln>
              <a:effectLst/>
            </c:spPr>
            <c:extLst>
              <c:ext xmlns:c16="http://schemas.microsoft.com/office/drawing/2014/chart" uri="{C3380CC4-5D6E-409C-BE32-E72D297353CC}">
                <c16:uniqueId val="{00000009-11AF-4984-BA6D-3973F98EBFA3}"/>
              </c:ext>
            </c:extLst>
          </c:dPt>
          <c:dLbls>
            <c:dLbl>
              <c:idx val="0"/>
              <c:layout>
                <c:manualLayout>
                  <c:x val="-2.8855156882308143E-3"/>
                  <c:y val="-0.15607966672889037"/>
                </c:manualLayout>
              </c:layout>
              <c:tx>
                <c:rich>
                  <a:bodyPr/>
                  <a:lstStyle/>
                  <a:p>
                    <a:fld id="{E7EA1748-B1E0-4C02-93D5-21CA983CC7A2}" type="VALUE">
                      <a:rPr lang="en-US">
                        <a:solidFill>
                          <a:srgbClr val="FF0000"/>
                        </a:solidFill>
                      </a:rPr>
                      <a:pPr/>
                      <a:t>[VALUE]</a:t>
                    </a:fld>
                    <a:endParaRPr lang="en-GB"/>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11AF-4984-BA6D-3973F98EBFA3}"/>
                </c:ext>
              </c:extLst>
            </c:dLbl>
            <c:dLbl>
              <c:idx val="1"/>
              <c:layout>
                <c:manualLayout>
                  <c:x val="0"/>
                  <c:y val="-0.16029803609994148"/>
                </c:manualLayout>
              </c:layout>
              <c:spPr>
                <a:no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1AF-4984-BA6D-3973F98EBFA3}"/>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('L2 DW inventory-estimate'!$R$9,'L2 DW inventory-estimate'!$AF$9)</c:f>
              <c:numCache>
                <c:formatCode>0.0%</c:formatCode>
                <c:ptCount val="2"/>
                <c:pt idx="0">
                  <c:v>1.9883318650153452E-2</c:v>
                </c:pt>
                <c:pt idx="1">
                  <c:v>1.9883318650153452E-2</c:v>
                </c:pt>
              </c:numCache>
            </c:numRef>
          </c:val>
          <c:extLst>
            <c:ext xmlns:c16="http://schemas.microsoft.com/office/drawing/2014/chart" uri="{C3380CC4-5D6E-409C-BE32-E72D297353CC}">
              <c16:uniqueId val="{0000000A-5AC8-4122-AD79-AF3E19410AFE}"/>
            </c:ext>
          </c:extLst>
        </c:ser>
        <c:dLbls>
          <c:showLegendKey val="0"/>
          <c:showVal val="0"/>
          <c:showCatName val="0"/>
          <c:showSerName val="0"/>
          <c:showPercent val="0"/>
          <c:showBubbleSize val="0"/>
        </c:dLbls>
        <c:gapWidth val="150"/>
        <c:overlap val="100"/>
        <c:axId val="341488152"/>
        <c:axId val="341485408"/>
      </c:barChart>
      <c:valAx>
        <c:axId val="34148540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488152"/>
        <c:crosses val="autoZero"/>
        <c:crossBetween val="between"/>
        <c:majorUnit val="0.1"/>
      </c:valAx>
      <c:catAx>
        <c:axId val="34148815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485408"/>
        <c:crosses val="autoZero"/>
        <c:auto val="1"/>
        <c:lblAlgn val="ctr"/>
        <c:lblOffset val="50"/>
        <c:tickLblSkip val="1"/>
        <c:noMultiLvlLbl val="0"/>
      </c:catAx>
      <c:spPr>
        <a:noFill/>
        <a:ln>
          <a:noFill/>
        </a:ln>
        <a:effectLst/>
      </c:spPr>
    </c:plotArea>
    <c:legend>
      <c:legendPos val="b"/>
      <c:layout>
        <c:manualLayout>
          <c:xMode val="edge"/>
          <c:yMode val="edge"/>
          <c:x val="4.1746522958329584E-2"/>
          <c:y val="0.87275555940122851"/>
          <c:w val="0.91006343992887995"/>
          <c:h val="0.1096620230163537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a:t>Split of</a:t>
            </a:r>
            <a:r>
              <a:rPr lang="es-ES" sz="1100" baseline="0"/>
              <a:t> DW codes (all 17 except 17 05) by properties</a:t>
            </a:r>
            <a:endParaRPr lang="es-ES" sz="1100"/>
          </a:p>
        </c:rich>
      </c:tx>
      <c:layout>
        <c:manualLayout>
          <c:xMode val="edge"/>
          <c:yMode val="edge"/>
          <c:x val="0.10193728941830009"/>
          <c:y val="4.9839767110933901E-2"/>
        </c:manualLayout>
      </c:layout>
      <c:overlay val="0"/>
      <c:spPr>
        <a:solidFill>
          <a:sysClr val="window" lastClr="FF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99845458912552E-2"/>
          <c:y val="4.6402063081562007E-2"/>
          <c:w val="0.91204489511687403"/>
          <c:h val="0.74903259836274128"/>
        </c:manualLayout>
      </c:layout>
      <c:barChart>
        <c:barDir val="bar"/>
        <c:grouping val="stacked"/>
        <c:varyColors val="0"/>
        <c:ser>
          <c:idx val="0"/>
          <c:order val="0"/>
          <c:tx>
            <c:strRef>
              <c:f>'L2 DW inventory-estimate'!$N$20</c:f>
              <c:strCache>
                <c:ptCount val="1"/>
                <c:pt idx="0">
                  <c:v>Inert</c:v>
                </c:pt>
              </c:strCache>
            </c:strRef>
          </c:tx>
          <c:spPr>
            <a:solidFill>
              <a:srgbClr val="92D050"/>
            </a:solidFill>
            <a:ln w="12700">
              <a:solidFill>
                <a:sysClr val="windowText" lastClr="000000"/>
              </a:solidFill>
            </a:ln>
            <a:effectLst/>
          </c:spPr>
          <c:invertIfNegative val="0"/>
          <c:dLbls>
            <c:dLbl>
              <c:idx val="0"/>
              <c:layout>
                <c:manualLayout>
                  <c:x val="-0.18491484184914847"/>
                  <c:y val="0.24509803921568626"/>
                </c:manualLayout>
              </c:layout>
              <c:spPr>
                <a:solidFill>
                  <a:sysClr val="window" lastClr="FFFFFF"/>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92B-4F85-9805-54E25E4503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'L2 DW inventory-estimate'!$P$19</c:f>
              <c:strCache>
                <c:ptCount val="1"/>
                <c:pt idx="0">
                  <c:v>DW share</c:v>
                </c:pt>
              </c:strCache>
            </c:strRef>
          </c:cat>
          <c:val>
            <c:numRef>
              <c:f>'L2 DW inventory-estimate'!$P$20</c:f>
              <c:numCache>
                <c:formatCode>0.0%</c:formatCode>
                <c:ptCount val="1"/>
                <c:pt idx="0">
                  <c:v>0.93824409880411608</c:v>
                </c:pt>
              </c:numCache>
            </c:numRef>
          </c:val>
          <c:extLst>
            <c:ext xmlns:c16="http://schemas.microsoft.com/office/drawing/2014/chart" uri="{C3380CC4-5D6E-409C-BE32-E72D297353CC}">
              <c16:uniqueId val="{00000001-692B-4F85-9805-54E25E45039B}"/>
            </c:ext>
          </c:extLst>
        </c:ser>
        <c:ser>
          <c:idx val="1"/>
          <c:order val="1"/>
          <c:tx>
            <c:strRef>
              <c:f>'L2 DW inventory-estimate'!$N$21</c:f>
              <c:strCache>
                <c:ptCount val="1"/>
                <c:pt idx="0">
                  <c:v>Non haz</c:v>
                </c:pt>
              </c:strCache>
            </c:strRef>
          </c:tx>
          <c:spPr>
            <a:solidFill>
              <a:srgbClr val="FFC000"/>
            </a:solidFill>
            <a:ln w="12700">
              <a:solidFill>
                <a:sysClr val="windowText" lastClr="000000"/>
              </a:solidFill>
            </a:ln>
            <a:effectLst/>
          </c:spPr>
          <c:invertIfNegative val="0"/>
          <c:dLbls>
            <c:dLbl>
              <c:idx val="0"/>
              <c:layout>
                <c:manualLayout>
                  <c:x val="-0.1338199513381996"/>
                  <c:y val="0.27450980392156865"/>
                </c:manualLayout>
              </c:layout>
              <c:spPr>
                <a:solidFill>
                  <a:sysClr val="window" lastClr="FFFFFF"/>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92B-4F85-9805-54E25E4503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'L2 DW inventory-estimate'!$P$19</c:f>
              <c:strCache>
                <c:ptCount val="1"/>
                <c:pt idx="0">
                  <c:v>DW share</c:v>
                </c:pt>
              </c:strCache>
            </c:strRef>
          </c:cat>
          <c:val>
            <c:numRef>
              <c:f>'L2 DW inventory-estimate'!$P$21</c:f>
              <c:numCache>
                <c:formatCode>0.0%</c:formatCode>
                <c:ptCount val="1"/>
                <c:pt idx="0">
                  <c:v>4.1872582545730522E-2</c:v>
                </c:pt>
              </c:numCache>
            </c:numRef>
          </c:val>
          <c:extLst>
            <c:ext xmlns:c16="http://schemas.microsoft.com/office/drawing/2014/chart" uri="{C3380CC4-5D6E-409C-BE32-E72D297353CC}">
              <c16:uniqueId val="{00000003-692B-4F85-9805-54E25E45039B}"/>
            </c:ext>
          </c:extLst>
        </c:ser>
        <c:ser>
          <c:idx val="2"/>
          <c:order val="2"/>
          <c:tx>
            <c:strRef>
              <c:f>'L2 DW inventory-estimate'!$N$22</c:f>
              <c:strCache>
                <c:ptCount val="1"/>
                <c:pt idx="0">
                  <c:v>Haz</c:v>
                </c:pt>
              </c:strCache>
            </c:strRef>
          </c:tx>
          <c:spPr>
            <a:solidFill>
              <a:srgbClr val="FF0000"/>
            </a:solidFill>
            <a:ln w="12700">
              <a:solidFill>
                <a:sysClr val="windowText" lastClr="000000"/>
              </a:solidFill>
            </a:ln>
            <a:effectLst/>
          </c:spPr>
          <c:invertIfNegative val="0"/>
          <c:dLbls>
            <c:dLbl>
              <c:idx val="0"/>
              <c:layout>
                <c:manualLayout>
                  <c:x val="-7.2992700729925227E-3"/>
                  <c:y val="0.29411764705882359"/>
                </c:manualLayout>
              </c:layout>
              <c:spPr>
                <a:solidFill>
                  <a:sysClr val="window" lastClr="FFFFFF"/>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92B-4F85-9805-54E25E4503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'L2 DW inventory-estimate'!$P$19</c:f>
              <c:strCache>
                <c:ptCount val="1"/>
                <c:pt idx="0">
                  <c:v>DW share</c:v>
                </c:pt>
              </c:strCache>
            </c:strRef>
          </c:cat>
          <c:val>
            <c:numRef>
              <c:f>'L2 DW inventory-estimate'!$P$22</c:f>
              <c:numCache>
                <c:formatCode>0.0%</c:formatCode>
                <c:ptCount val="1"/>
                <c:pt idx="0">
                  <c:v>1.9883318650153452E-2</c:v>
                </c:pt>
              </c:numCache>
            </c:numRef>
          </c:val>
          <c:extLst>
            <c:ext xmlns:c16="http://schemas.microsoft.com/office/drawing/2014/chart" uri="{C3380CC4-5D6E-409C-BE32-E72D297353CC}">
              <c16:uniqueId val="{00000005-692B-4F85-9805-54E25E45039B}"/>
            </c:ext>
          </c:extLst>
        </c:ser>
        <c:dLbls>
          <c:showLegendKey val="0"/>
          <c:showVal val="0"/>
          <c:showCatName val="0"/>
          <c:showSerName val="0"/>
          <c:showPercent val="0"/>
          <c:showBubbleSize val="0"/>
        </c:dLbls>
        <c:gapWidth val="150"/>
        <c:overlap val="100"/>
        <c:axId val="341488544"/>
        <c:axId val="341486976"/>
      </c:barChart>
      <c:valAx>
        <c:axId val="341486976"/>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488544"/>
        <c:crosses val="autoZero"/>
        <c:crossBetween val="between"/>
        <c:majorUnit val="0.1"/>
      </c:valAx>
      <c:catAx>
        <c:axId val="341488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486976"/>
        <c:crosses val="autoZero"/>
        <c:auto val="1"/>
        <c:lblAlgn val="ctr"/>
        <c:lblOffset val="50"/>
        <c:tickLblSkip val="1"/>
        <c:noMultiLvlLbl val="0"/>
      </c:catAx>
      <c:spPr>
        <a:noFill/>
        <a:ln>
          <a:noFill/>
        </a:ln>
        <a:effectLst/>
      </c:spPr>
    </c:plotArea>
    <c:legend>
      <c:legendPos val="b"/>
      <c:layout>
        <c:manualLayout>
          <c:xMode val="edge"/>
          <c:yMode val="edge"/>
          <c:x val="0.70044425907789243"/>
          <c:y val="5.1912630495815432E-2"/>
          <c:w val="0.26347449327280786"/>
          <c:h val="0.1715170603674540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a:t>Split of CW+OO codes (all 17 except 17 05) by destination</a:t>
            </a:r>
          </a:p>
        </c:rich>
      </c:tx>
      <c:layout>
        <c:manualLayout>
          <c:xMode val="edge"/>
          <c:yMode val="edge"/>
          <c:x val="0.23925803400032086"/>
          <c:y val="1.93778309050644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11259617914759"/>
          <c:y val="9.6784518560851893E-2"/>
          <c:w val="0.8087352966503254"/>
          <c:h val="0.69864995590384893"/>
        </c:manualLayout>
      </c:layout>
      <c:barChart>
        <c:barDir val="bar"/>
        <c:grouping val="stacked"/>
        <c:varyColors val="0"/>
        <c:ser>
          <c:idx val="0"/>
          <c:order val="0"/>
          <c:tx>
            <c:strRef>
              <c:f>'L2 CW estimate'!$AK$4</c:f>
              <c:strCache>
                <c:ptCount val="1"/>
                <c:pt idx="0">
                  <c:v>Reuse</c:v>
                </c:pt>
              </c:strCache>
            </c:strRef>
          </c:tx>
          <c:spPr>
            <a:solidFill>
              <a:srgbClr val="00B050"/>
            </a:solidFill>
            <a:ln w="12700">
              <a:solidFill>
                <a:sysClr val="windowText" lastClr="000000"/>
              </a:solidFill>
            </a:ln>
            <a:effectLst/>
          </c:spPr>
          <c:invertIfNegative val="0"/>
          <c:dPt>
            <c:idx val="0"/>
            <c:invertIfNegative val="0"/>
            <c:bubble3D val="0"/>
            <c:spPr>
              <a:solidFill>
                <a:srgbClr val="00B050"/>
              </a:solidFill>
              <a:ln w="12700">
                <a:solidFill>
                  <a:sysClr val="windowText" lastClr="000000"/>
                </a:solidFill>
              </a:ln>
              <a:effectLst/>
            </c:spPr>
            <c:extLst>
              <c:ext xmlns:c16="http://schemas.microsoft.com/office/drawing/2014/chart" uri="{C3380CC4-5D6E-409C-BE32-E72D297353CC}">
                <c16:uniqueId val="{00000001-480D-403F-8812-39F74E6D2B02}"/>
              </c:ext>
            </c:extLst>
          </c:dPt>
          <c:dLbls>
            <c:dLbl>
              <c:idx val="0"/>
              <c:layout>
                <c:manualLayout>
                  <c:x val="4.8297293341909776E-2"/>
                  <c:y val="-0.15607974148024423"/>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80D-403F-8812-39F74E6D2B02}"/>
                </c:ext>
              </c:extLst>
            </c:dLbl>
            <c:dLbl>
              <c:idx val="1"/>
              <c:layout>
                <c:manualLayout>
                  <c:x val="1.7899366940263908E-2"/>
                  <c:y val="-0.14531011813744876"/>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80D-403F-8812-39F74E6D2B02}"/>
                </c:ext>
              </c:extLst>
            </c:dLbl>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'L2 CW estimate'!$AK$2:$AL$2</c15:sqref>
                  </c15:fullRef>
                </c:ext>
              </c:extLst>
              <c:f>'L2 CW estimate'!$AK$2:$AL$2</c:f>
              <c:strCache>
                <c:ptCount val="2"/>
                <c:pt idx="0">
                  <c:v>Probable CW+OO outcome</c:v>
                </c:pt>
                <c:pt idx="1">
                  <c:v>Best CW+OO outcome</c:v>
                </c:pt>
              </c:strCache>
            </c:strRef>
          </c:cat>
          <c:val>
            <c:numRef>
              <c:extLst>
                <c:ext xmlns:c15="http://schemas.microsoft.com/office/drawing/2012/chart" uri="{02D57815-91ED-43cb-92C2-25804820EDAC}">
                  <c15:fullRef>
                    <c15:sqref>('L2 CW estimate'!$Y$4,'L2 CW estimate'!$AQ$4)</c15:sqref>
                  </c15:fullRef>
                </c:ext>
              </c:extLst>
              <c:f>('L2 CW estimate'!$Y$4,'L2 CW estimate'!$AQ$4)</c:f>
              <c:numCache>
                <c:formatCode>0.0%</c:formatCode>
                <c:ptCount val="2"/>
                <c:pt idx="0">
                  <c:v>4.6162414245699591E-3</c:v>
                </c:pt>
                <c:pt idx="1">
                  <c:v>2.668892688627925E-2</c:v>
                </c:pt>
              </c:numCache>
            </c:numRef>
          </c:val>
          <c:extLst>
            <c:ext xmlns:c16="http://schemas.microsoft.com/office/drawing/2014/chart" uri="{C3380CC4-5D6E-409C-BE32-E72D297353CC}">
              <c16:uniqueId val="{00000003-480D-403F-8812-39F74E6D2B02}"/>
            </c:ext>
          </c:extLst>
        </c:ser>
        <c:ser>
          <c:idx val="1"/>
          <c:order val="1"/>
          <c:tx>
            <c:strRef>
              <c:f>'L2 CW estimate'!$AK$5</c:f>
              <c:strCache>
                <c:ptCount val="1"/>
                <c:pt idx="0">
                  <c:v>Recycling</c:v>
                </c:pt>
              </c:strCache>
            </c:strRef>
          </c:tx>
          <c:spPr>
            <a:solidFill>
              <a:srgbClr val="92D050"/>
            </a:solidFill>
            <a:ln w="12700">
              <a:solidFill>
                <a:sysClr val="windowText" lastClr="000000"/>
              </a:solidFill>
            </a:ln>
            <a:effectLst/>
          </c:spPr>
          <c:invertIfNegative val="0"/>
          <c:dPt>
            <c:idx val="0"/>
            <c:invertIfNegative val="0"/>
            <c:bubble3D val="0"/>
            <c:spPr>
              <a:solidFill>
                <a:srgbClr val="92D050"/>
              </a:solidFill>
              <a:ln w="12700">
                <a:solidFill>
                  <a:sysClr val="windowText" lastClr="000000"/>
                </a:solidFill>
              </a:ln>
              <a:effectLst/>
            </c:spPr>
            <c:extLst>
              <c:ext xmlns:c16="http://schemas.microsoft.com/office/drawing/2014/chart" uri="{C3380CC4-5D6E-409C-BE32-E72D297353CC}">
                <c16:uniqueId val="{00000005-480D-403F-8812-39F74E6D2B02}"/>
              </c:ext>
            </c:extLst>
          </c:dPt>
          <c:dLbls>
            <c:dLbl>
              <c:idx val="0"/>
              <c:layout>
                <c:manualLayout>
                  <c:x val="5.6781363979186546E-2"/>
                  <c:y val="0.13154069095986881"/>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92D05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80D-403F-8812-39F74E6D2B02}"/>
                </c:ext>
              </c:extLst>
            </c:dLbl>
            <c:dLbl>
              <c:idx val="1"/>
              <c:layout>
                <c:manualLayout>
                  <c:x val="1.230519790203238E-2"/>
                  <c:y val="0.11647818292326684"/>
                </c:manualLayout>
              </c:layout>
              <c:spPr>
                <a:no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92D05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80D-403F-8812-39F74E6D2B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'L2 CW estimate'!$AK$2:$AL$2</c15:sqref>
                  </c15:fullRef>
                </c:ext>
              </c:extLst>
              <c:f>'L2 CW estimate'!$AK$2:$AL$2</c:f>
              <c:strCache>
                <c:ptCount val="2"/>
                <c:pt idx="0">
                  <c:v>Probable CW+OO outcome</c:v>
                </c:pt>
                <c:pt idx="1">
                  <c:v>Best CW+OO outcome</c:v>
                </c:pt>
              </c:strCache>
            </c:strRef>
          </c:cat>
          <c:val>
            <c:numRef>
              <c:extLst>
                <c:ext xmlns:c15="http://schemas.microsoft.com/office/drawing/2012/chart" uri="{02D57815-91ED-43cb-92C2-25804820EDAC}">
                  <c15:fullRef>
                    <c15:sqref>('L2 CW estimate'!$Y$5,'L2 CW estimate'!$AQ$5)</c15:sqref>
                  </c15:fullRef>
                </c:ext>
              </c:extLst>
              <c:f>('L2 CW estimate'!$Y$5,'L2 CW estimate'!$AQ$5)</c:f>
              <c:numCache>
                <c:formatCode>0.0%</c:formatCode>
                <c:ptCount val="2"/>
                <c:pt idx="0">
                  <c:v>0.32887330028779765</c:v>
                </c:pt>
                <c:pt idx="1">
                  <c:v>0.9693375356120415</c:v>
                </c:pt>
              </c:numCache>
            </c:numRef>
          </c:val>
          <c:extLst>
            <c:ext xmlns:c16="http://schemas.microsoft.com/office/drawing/2014/chart" uri="{C3380CC4-5D6E-409C-BE32-E72D297353CC}">
              <c16:uniqueId val="{00000007-480D-403F-8812-39F74E6D2B02}"/>
            </c:ext>
          </c:extLst>
        </c:ser>
        <c:ser>
          <c:idx val="2"/>
          <c:order val="2"/>
          <c:tx>
            <c:strRef>
              <c:f>'L2 CW estimate'!$AK$6</c:f>
              <c:strCache>
                <c:ptCount val="1"/>
                <c:pt idx="0">
                  <c:v>Material recovery (backfill)</c:v>
                </c:pt>
              </c:strCache>
            </c:strRef>
          </c:tx>
          <c:spPr>
            <a:solidFill>
              <a:schemeClr val="accent4"/>
            </a:solidFill>
            <a:ln w="12700">
              <a:solidFill>
                <a:sysClr val="windowText" lastClr="000000"/>
              </a:solidFill>
            </a:ln>
            <a:effectLst/>
          </c:spPr>
          <c:invertIfNegative val="0"/>
          <c:dPt>
            <c:idx val="0"/>
            <c:invertIfNegative val="0"/>
            <c:bubble3D val="0"/>
            <c:spPr>
              <a:solidFill>
                <a:schemeClr val="accent4"/>
              </a:solidFill>
              <a:ln w="12700">
                <a:solidFill>
                  <a:sysClr val="windowText" lastClr="000000"/>
                </a:solidFill>
              </a:ln>
              <a:effectLst/>
            </c:spPr>
            <c:extLst>
              <c:ext xmlns:c16="http://schemas.microsoft.com/office/drawing/2014/chart" uri="{C3380CC4-5D6E-409C-BE32-E72D297353CC}">
                <c16:uniqueId val="{00000009-480D-403F-8812-39F74E6D2B02}"/>
              </c:ext>
            </c:extLst>
          </c:dPt>
          <c:dLbls>
            <c:dLbl>
              <c:idx val="0"/>
              <c:layout>
                <c:manualLayout>
                  <c:x val="-4.3282735323460733E-2"/>
                  <c:y val="-0.15186129735783929"/>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80D-403F-8812-39F74E6D2B02}"/>
                </c:ext>
              </c:extLst>
            </c:dLbl>
            <c:dLbl>
              <c:idx val="1"/>
              <c:layout>
                <c:manualLayout>
                  <c:x val="-6.4437757517209288E-2"/>
                  <c:y val="-0.14525429698174724"/>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80D-403F-8812-39F74E6D2B02}"/>
                </c:ext>
              </c:extLst>
            </c:dLbl>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'L2 CW estimate'!$AK$2:$AL$2</c15:sqref>
                  </c15:fullRef>
                </c:ext>
              </c:extLst>
              <c:f>'L2 CW estimate'!$AK$2:$AL$2</c:f>
              <c:strCache>
                <c:ptCount val="2"/>
                <c:pt idx="0">
                  <c:v>Probable CW+OO outcome</c:v>
                </c:pt>
                <c:pt idx="1">
                  <c:v>Best CW+OO outcome</c:v>
                </c:pt>
              </c:strCache>
            </c:strRef>
          </c:cat>
          <c:val>
            <c:numRef>
              <c:extLst>
                <c:ext xmlns:c15="http://schemas.microsoft.com/office/drawing/2012/chart" uri="{02D57815-91ED-43cb-92C2-25804820EDAC}">
                  <c15:fullRef>
                    <c15:sqref>('L2 CW estimate'!$Y$6,'L2 CW estimate'!$AQ$6)</c15:sqref>
                  </c15:fullRef>
                </c:ext>
              </c:extLst>
              <c:f>('L2 CW estimate'!$Y$6,'L2 CW estimate'!$AQ$6)</c:f>
              <c:numCache>
                <c:formatCode>0.0%</c:formatCode>
                <c:ptCount val="2"/>
                <c:pt idx="0">
                  <c:v>0.65771506456367723</c:v>
                </c:pt>
                <c:pt idx="1">
                  <c:v>3.9735375016792928E-3</c:v>
                </c:pt>
              </c:numCache>
            </c:numRef>
          </c:val>
          <c:extLst>
            <c:ext xmlns:c16="http://schemas.microsoft.com/office/drawing/2014/chart" uri="{C3380CC4-5D6E-409C-BE32-E72D297353CC}">
              <c16:uniqueId val="{0000000B-480D-403F-8812-39F74E6D2B02}"/>
            </c:ext>
          </c:extLst>
        </c:ser>
        <c:ser>
          <c:idx val="3"/>
          <c:order val="3"/>
          <c:tx>
            <c:strRef>
              <c:f>'L2 CW estimate'!$AK$7</c:f>
              <c:strCache>
                <c:ptCount val="1"/>
                <c:pt idx="0">
                  <c:v>Energy recovery</c:v>
                </c:pt>
              </c:strCache>
            </c:strRef>
          </c:tx>
          <c:spPr>
            <a:solidFill>
              <a:schemeClr val="accent2"/>
            </a:solidFill>
            <a:ln w="12700">
              <a:solidFill>
                <a:sysClr val="windowText" lastClr="000000"/>
              </a:solidFill>
            </a:ln>
            <a:effectLst/>
          </c:spPr>
          <c:invertIfNegative val="0"/>
          <c:dPt>
            <c:idx val="0"/>
            <c:invertIfNegative val="0"/>
            <c:bubble3D val="0"/>
            <c:spPr>
              <a:solidFill>
                <a:schemeClr val="accent2"/>
              </a:solidFill>
              <a:ln w="12700">
                <a:solidFill>
                  <a:sysClr val="windowText" lastClr="000000"/>
                </a:solidFill>
              </a:ln>
              <a:effectLst/>
            </c:spPr>
            <c:extLst>
              <c:ext xmlns:c16="http://schemas.microsoft.com/office/drawing/2014/chart" uri="{C3380CC4-5D6E-409C-BE32-E72D297353CC}">
                <c16:uniqueId val="{0000000D-480D-403F-8812-39F74E6D2B02}"/>
              </c:ext>
            </c:extLst>
          </c:dPt>
          <c:dLbls>
            <c:dLbl>
              <c:idx val="0"/>
              <c:layout>
                <c:manualLayout>
                  <c:x val="-1.154206275292294E-2"/>
                  <c:y val="0.13076945050258384"/>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80D-403F-8812-39F74E6D2B02}"/>
                </c:ext>
              </c:extLst>
            </c:dLbl>
            <c:dLbl>
              <c:idx val="1"/>
              <c:layout>
                <c:manualLayout>
                  <c:x val="5.9475193430709741E-2"/>
                  <c:y val="0.11272450787308827"/>
                </c:manualLayout>
              </c:layout>
              <c:spPr>
                <a:no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80D-403F-8812-39F74E6D2B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'L2 CW estimate'!$AK$2:$AL$2</c15:sqref>
                  </c15:fullRef>
                </c:ext>
              </c:extLst>
              <c:f>'L2 CW estimate'!$AK$2:$AL$2</c:f>
              <c:strCache>
                <c:ptCount val="2"/>
                <c:pt idx="0">
                  <c:v>Probable CW+OO outcome</c:v>
                </c:pt>
                <c:pt idx="1">
                  <c:v>Best CW+OO outcome</c:v>
                </c:pt>
              </c:strCache>
            </c:strRef>
          </c:cat>
          <c:val>
            <c:numRef>
              <c:extLst>
                <c:ext xmlns:c15="http://schemas.microsoft.com/office/drawing/2012/chart" uri="{02D57815-91ED-43cb-92C2-25804820EDAC}">
                  <c15:fullRef>
                    <c15:sqref>('L2 CW estimate'!$Y$7,'L2 CW estimate'!$AQ$7)</c15:sqref>
                  </c15:fullRef>
                </c:ext>
              </c:extLst>
              <c:f>('L2 CW estimate'!$Y$7,'L2 CW estimate'!$AQ$7)</c:f>
              <c:numCache>
                <c:formatCode>0.0%</c:formatCode>
                <c:ptCount val="2"/>
                <c:pt idx="0">
                  <c:v>2.5008057451045072E-3</c:v>
                </c:pt>
                <c:pt idx="1">
                  <c:v>0</c:v>
                </c:pt>
              </c:numCache>
            </c:numRef>
          </c:val>
          <c:extLst>
            <c:ext xmlns:c16="http://schemas.microsoft.com/office/drawing/2014/chart" uri="{C3380CC4-5D6E-409C-BE32-E72D297353CC}">
              <c16:uniqueId val="{0000000F-480D-403F-8812-39F74E6D2B02}"/>
            </c:ext>
          </c:extLst>
        </c:ser>
        <c:ser>
          <c:idx val="4"/>
          <c:order val="4"/>
          <c:tx>
            <c:strRef>
              <c:f>'L2 CW estimate'!$AK$8</c:f>
              <c:strCache>
                <c:ptCount val="1"/>
                <c:pt idx="0">
                  <c:v>Disposal</c:v>
                </c:pt>
              </c:strCache>
            </c:strRef>
          </c:tx>
          <c:spPr>
            <a:solidFill>
              <a:srgbClr val="FF0000"/>
            </a:solidFill>
            <a:ln w="12700">
              <a:solidFill>
                <a:sysClr val="windowText" lastClr="000000"/>
              </a:solidFill>
            </a:ln>
            <a:effectLst/>
          </c:spPr>
          <c:invertIfNegative val="0"/>
          <c:dPt>
            <c:idx val="0"/>
            <c:invertIfNegative val="0"/>
            <c:bubble3D val="0"/>
            <c:spPr>
              <a:solidFill>
                <a:srgbClr val="FF0000"/>
              </a:solidFill>
              <a:ln w="12700">
                <a:solidFill>
                  <a:sysClr val="windowText" lastClr="000000"/>
                </a:solidFill>
              </a:ln>
              <a:effectLst/>
            </c:spPr>
            <c:extLst>
              <c:ext xmlns:c16="http://schemas.microsoft.com/office/drawing/2014/chart" uri="{C3380CC4-5D6E-409C-BE32-E72D297353CC}">
                <c16:uniqueId val="{00000011-480D-403F-8812-39F74E6D2B02}"/>
              </c:ext>
            </c:extLst>
          </c:dPt>
          <c:dLbls>
            <c:dLbl>
              <c:idx val="0"/>
              <c:layout>
                <c:manualLayout>
                  <c:x val="-2.2509871536919877E-2"/>
                  <c:y val="-0.15233995863212749"/>
                </c:manualLayout>
              </c:layout>
              <c:tx>
                <c:rich>
                  <a:bodyPr/>
                  <a:lstStyle/>
                  <a:p>
                    <a:fld id="{E7EA1748-B1E0-4C02-93D5-21CA983CC7A2}" type="VALUE">
                      <a:rPr lang="en-US">
                        <a:solidFill>
                          <a:srgbClr val="FF0000"/>
                        </a:solidFill>
                      </a:rPr>
                      <a:pPr/>
                      <a:t>[VALUE]</a:t>
                    </a:fld>
                    <a:endParaRPr lang="en-GB"/>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480D-403F-8812-39F74E6D2B02}"/>
                </c:ext>
              </c:extLst>
            </c:dLbl>
            <c:dLbl>
              <c:idx val="1"/>
              <c:layout>
                <c:manualLayout>
                  <c:x val="-2.3269139487426135E-2"/>
                  <c:y val="-0.141640497639487"/>
                </c:manualLayout>
              </c:layout>
              <c:spPr>
                <a:no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80D-403F-8812-39F74E6D2B02}"/>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'L2 CW estimate'!$AK$2:$AL$2</c15:sqref>
                  </c15:fullRef>
                </c:ext>
              </c:extLst>
              <c:f>'L2 CW estimate'!$AK$2:$AL$2</c:f>
              <c:strCache>
                <c:ptCount val="2"/>
                <c:pt idx="0">
                  <c:v>Probable CW+OO outcome</c:v>
                </c:pt>
                <c:pt idx="1">
                  <c:v>Best CW+OO outcome</c:v>
                </c:pt>
              </c:strCache>
            </c:strRef>
          </c:cat>
          <c:val>
            <c:numRef>
              <c:extLst>
                <c:ext xmlns:c15="http://schemas.microsoft.com/office/drawing/2012/chart" uri="{02D57815-91ED-43cb-92C2-25804820EDAC}">
                  <c15:fullRef>
                    <c15:sqref>('L2 CW estimate'!$Y$8,'L2 CW estimate'!$AM$8,'L2 CW estimate'!$AQ$8)</c15:sqref>
                  </c15:fullRef>
                </c:ext>
              </c:extLst>
              <c:f>('L2 CW estimate'!$Y$8,'L2 CW estimate'!$AM$8)</c:f>
              <c:numCache>
                <c:formatCode>0.0%</c:formatCode>
                <c:ptCount val="2"/>
                <c:pt idx="0">
                  <c:v>6.2945879788506888E-3</c:v>
                </c:pt>
                <c:pt idx="1">
                  <c:v>0</c:v>
                </c:pt>
              </c:numCache>
            </c:numRef>
          </c:val>
          <c:extLst>
            <c:ext xmlns:c16="http://schemas.microsoft.com/office/drawing/2014/chart" uri="{C3380CC4-5D6E-409C-BE32-E72D297353CC}">
              <c16:uniqueId val="{00000013-480D-403F-8812-39F74E6D2B02}"/>
            </c:ext>
          </c:extLst>
        </c:ser>
        <c:dLbls>
          <c:showLegendKey val="0"/>
          <c:showVal val="0"/>
          <c:showCatName val="0"/>
          <c:showSerName val="0"/>
          <c:showPercent val="0"/>
          <c:showBubbleSize val="0"/>
        </c:dLbls>
        <c:gapWidth val="150"/>
        <c:overlap val="100"/>
        <c:axId val="344108176"/>
        <c:axId val="341487760"/>
      </c:barChart>
      <c:valAx>
        <c:axId val="34148776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108176"/>
        <c:crosses val="autoZero"/>
        <c:crossBetween val="between"/>
        <c:majorUnit val="0.1"/>
      </c:valAx>
      <c:catAx>
        <c:axId val="34410817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487760"/>
        <c:crosses val="autoZero"/>
        <c:auto val="1"/>
        <c:lblAlgn val="ctr"/>
        <c:lblOffset val="50"/>
        <c:tickLblSkip val="1"/>
        <c:noMultiLvlLbl val="0"/>
      </c:catAx>
      <c:spPr>
        <a:noFill/>
        <a:ln>
          <a:solidFill>
            <a:schemeClr val="tx1"/>
          </a:solidFill>
          <a:prstDash val="solid"/>
        </a:ln>
        <a:effectLst/>
      </c:spPr>
    </c:plotArea>
    <c:legend>
      <c:legendPos val="b"/>
      <c:layout>
        <c:manualLayout>
          <c:xMode val="edge"/>
          <c:yMode val="edge"/>
          <c:x val="0.12848620553303194"/>
          <c:y val="0.89033790773681465"/>
          <c:w val="0.80111137049017878"/>
          <c:h val="7.478188426362479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a:t>Split of</a:t>
            </a:r>
            <a:r>
              <a:rPr lang="es-ES" sz="1100" baseline="0"/>
              <a:t> CW (all 17 except 17 05) by properties</a:t>
            </a:r>
            <a:endParaRPr lang="es-ES" sz="1100"/>
          </a:p>
        </c:rich>
      </c:tx>
      <c:layout>
        <c:manualLayout>
          <c:xMode val="edge"/>
          <c:yMode val="edge"/>
          <c:x val="0.10193728941830009"/>
          <c:y val="4.9839767110933901E-2"/>
        </c:manualLayout>
      </c:layout>
      <c:overlay val="0"/>
      <c:spPr>
        <a:solidFill>
          <a:sysClr val="window" lastClr="FF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99845458912552E-2"/>
          <c:y val="4.6402063081562007E-2"/>
          <c:w val="0.91204489511687403"/>
          <c:h val="0.74903259836274128"/>
        </c:manualLayout>
      </c:layout>
      <c:barChart>
        <c:barDir val="bar"/>
        <c:grouping val="stacked"/>
        <c:varyColors val="0"/>
        <c:ser>
          <c:idx val="0"/>
          <c:order val="0"/>
          <c:tx>
            <c:strRef>
              <c:f>'L2 CW estimate'!$U$19</c:f>
              <c:strCache>
                <c:ptCount val="1"/>
                <c:pt idx="0">
                  <c:v>Inert</c:v>
                </c:pt>
              </c:strCache>
            </c:strRef>
          </c:tx>
          <c:spPr>
            <a:solidFill>
              <a:srgbClr val="92D050"/>
            </a:solidFill>
            <a:ln w="12700">
              <a:solidFill>
                <a:sysClr val="windowText" lastClr="000000"/>
              </a:solidFill>
            </a:ln>
            <a:effectLst/>
          </c:spPr>
          <c:invertIfNegative val="0"/>
          <c:dLbls>
            <c:dLbl>
              <c:idx val="0"/>
              <c:layout>
                <c:manualLayout>
                  <c:x val="-0.18491484184914847"/>
                  <c:y val="0.24509803921568626"/>
                </c:manualLayout>
              </c:layout>
              <c:spPr>
                <a:solidFill>
                  <a:sysClr val="window" lastClr="FFFFFF"/>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988-4C7B-AE94-5D7074C398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'L2 CW estimate'!$W$18</c:f>
              <c:strCache>
                <c:ptCount val="1"/>
                <c:pt idx="0">
                  <c:v>CW share</c:v>
                </c:pt>
              </c:strCache>
            </c:strRef>
          </c:cat>
          <c:val>
            <c:numRef>
              <c:f>'L2 CW estimate'!$W$19</c:f>
              <c:numCache>
                <c:formatCode>0.0%</c:formatCode>
                <c:ptCount val="1"/>
                <c:pt idx="0">
                  <c:v>0.96784020576617058</c:v>
                </c:pt>
              </c:numCache>
            </c:numRef>
          </c:val>
          <c:extLst>
            <c:ext xmlns:c16="http://schemas.microsoft.com/office/drawing/2014/chart" uri="{C3380CC4-5D6E-409C-BE32-E72D297353CC}">
              <c16:uniqueId val="{00000001-9988-4C7B-AE94-5D7074C3985B}"/>
            </c:ext>
          </c:extLst>
        </c:ser>
        <c:ser>
          <c:idx val="1"/>
          <c:order val="1"/>
          <c:tx>
            <c:strRef>
              <c:f>'L2 CW estimate'!$U$20</c:f>
              <c:strCache>
                <c:ptCount val="1"/>
                <c:pt idx="0">
                  <c:v>Non haz</c:v>
                </c:pt>
              </c:strCache>
            </c:strRef>
          </c:tx>
          <c:spPr>
            <a:solidFill>
              <a:srgbClr val="FFC000"/>
            </a:solidFill>
            <a:ln w="12700">
              <a:solidFill>
                <a:sysClr val="windowText" lastClr="000000"/>
              </a:solidFill>
            </a:ln>
            <a:effectLst/>
          </c:spPr>
          <c:invertIfNegative val="0"/>
          <c:dLbls>
            <c:dLbl>
              <c:idx val="0"/>
              <c:layout>
                <c:manualLayout>
                  <c:x val="-0.1338199513381996"/>
                  <c:y val="0.27450980392156865"/>
                </c:manualLayout>
              </c:layout>
              <c:spPr>
                <a:solidFill>
                  <a:sysClr val="window" lastClr="FFFFFF"/>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988-4C7B-AE94-5D7074C398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'L2 CW estimate'!$W$18</c:f>
              <c:strCache>
                <c:ptCount val="1"/>
                <c:pt idx="0">
                  <c:v>CW share</c:v>
                </c:pt>
              </c:strCache>
            </c:strRef>
          </c:cat>
          <c:val>
            <c:numRef>
              <c:f>'L2 CW estimate'!$W$20</c:f>
              <c:numCache>
                <c:formatCode>0.0%</c:formatCode>
                <c:ptCount val="1"/>
                <c:pt idx="0">
                  <c:v>3.2159794233829433E-2</c:v>
                </c:pt>
              </c:numCache>
            </c:numRef>
          </c:val>
          <c:extLst>
            <c:ext xmlns:c16="http://schemas.microsoft.com/office/drawing/2014/chart" uri="{C3380CC4-5D6E-409C-BE32-E72D297353CC}">
              <c16:uniqueId val="{00000003-9988-4C7B-AE94-5D7074C3985B}"/>
            </c:ext>
          </c:extLst>
        </c:ser>
        <c:ser>
          <c:idx val="2"/>
          <c:order val="2"/>
          <c:tx>
            <c:strRef>
              <c:f>'L2 CW estimate'!$U$21</c:f>
              <c:strCache>
                <c:ptCount val="1"/>
                <c:pt idx="0">
                  <c:v>Haz</c:v>
                </c:pt>
              </c:strCache>
            </c:strRef>
          </c:tx>
          <c:spPr>
            <a:solidFill>
              <a:srgbClr val="FF0000"/>
            </a:solidFill>
            <a:ln w="12700">
              <a:solidFill>
                <a:sysClr val="windowText" lastClr="000000"/>
              </a:solidFill>
            </a:ln>
            <a:effectLst/>
          </c:spPr>
          <c:invertIfNegative val="0"/>
          <c:dLbls>
            <c:dLbl>
              <c:idx val="0"/>
              <c:layout>
                <c:manualLayout>
                  <c:x val="-7.2992700729925227E-3"/>
                  <c:y val="0.29411764705882359"/>
                </c:manualLayout>
              </c:layout>
              <c:spPr>
                <a:solidFill>
                  <a:sysClr val="window" lastClr="FFFFFF"/>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988-4C7B-AE94-5D7074C398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'L2 CW estimate'!$W$18</c:f>
              <c:strCache>
                <c:ptCount val="1"/>
                <c:pt idx="0">
                  <c:v>CW share</c:v>
                </c:pt>
              </c:strCache>
            </c:strRef>
          </c:cat>
          <c:val>
            <c:numRef>
              <c:f>'L2 CW estimate'!$W$21</c:f>
              <c:numCache>
                <c:formatCode>0.0%</c:formatCode>
                <c:ptCount val="1"/>
                <c:pt idx="0">
                  <c:v>0</c:v>
                </c:pt>
              </c:numCache>
            </c:numRef>
          </c:val>
          <c:extLst>
            <c:ext xmlns:c16="http://schemas.microsoft.com/office/drawing/2014/chart" uri="{C3380CC4-5D6E-409C-BE32-E72D297353CC}">
              <c16:uniqueId val="{00000005-9988-4C7B-AE94-5D7074C3985B}"/>
            </c:ext>
          </c:extLst>
        </c:ser>
        <c:dLbls>
          <c:showLegendKey val="0"/>
          <c:showVal val="0"/>
          <c:showCatName val="0"/>
          <c:showSerName val="0"/>
          <c:showPercent val="0"/>
          <c:showBubbleSize val="0"/>
        </c:dLbls>
        <c:gapWidth val="150"/>
        <c:overlap val="100"/>
        <c:axId val="344107784"/>
        <c:axId val="344104648"/>
      </c:barChart>
      <c:valAx>
        <c:axId val="34410464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107784"/>
        <c:crosses val="autoZero"/>
        <c:crossBetween val="between"/>
        <c:majorUnit val="0.1"/>
      </c:valAx>
      <c:catAx>
        <c:axId val="34410778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104648"/>
        <c:crosses val="autoZero"/>
        <c:auto val="1"/>
        <c:lblAlgn val="ctr"/>
        <c:lblOffset val="50"/>
        <c:tickLblSkip val="1"/>
        <c:noMultiLvlLbl val="0"/>
      </c:catAx>
      <c:spPr>
        <a:noFill/>
        <a:ln>
          <a:noFill/>
        </a:ln>
        <a:effectLst/>
      </c:spPr>
    </c:plotArea>
    <c:legend>
      <c:legendPos val="b"/>
      <c:layout>
        <c:manualLayout>
          <c:xMode val="edge"/>
          <c:yMode val="edge"/>
          <c:x val="0.70044425907789243"/>
          <c:y val="5.1912630495815432E-2"/>
          <c:w val="0.26347449327280786"/>
          <c:h val="0.1715170603674540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a:t>Split of CDW codes (all 17 except 17 05) by destination</a:t>
            </a:r>
          </a:p>
        </c:rich>
      </c:tx>
      <c:layout>
        <c:manualLayout>
          <c:xMode val="edge"/>
          <c:yMode val="edge"/>
          <c:x val="0.15196809955074486"/>
          <c:y val="1.93778933330892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721184581606809E-2"/>
          <c:y val="0.13852359522004529"/>
          <c:w val="0.90525089504419387"/>
          <c:h val="0.58038895194191131"/>
        </c:manualLayout>
      </c:layout>
      <c:barChart>
        <c:barDir val="bar"/>
        <c:grouping val="stacked"/>
        <c:varyColors val="0"/>
        <c:ser>
          <c:idx val="0"/>
          <c:order val="0"/>
          <c:tx>
            <c:strRef>
              <c:f>'L3 CDW measure'!$M$4</c:f>
              <c:strCache>
                <c:ptCount val="1"/>
                <c:pt idx="0">
                  <c:v>Reuse</c:v>
                </c:pt>
              </c:strCache>
            </c:strRef>
          </c:tx>
          <c:spPr>
            <a:solidFill>
              <a:srgbClr val="00B050"/>
            </a:solidFill>
            <a:ln w="12700">
              <a:solidFill>
                <a:sysClr val="windowText" lastClr="000000"/>
              </a:solidFill>
            </a:ln>
            <a:effectLst/>
          </c:spPr>
          <c:invertIfNegative val="0"/>
          <c:dPt>
            <c:idx val="0"/>
            <c:invertIfNegative val="0"/>
            <c:bubble3D val="0"/>
            <c:spPr>
              <a:solidFill>
                <a:srgbClr val="00B050"/>
              </a:solidFill>
              <a:ln w="12700">
                <a:solidFill>
                  <a:sysClr val="windowText" lastClr="000000"/>
                </a:solidFill>
              </a:ln>
              <a:effectLst/>
            </c:spPr>
            <c:extLst>
              <c:ext xmlns:c16="http://schemas.microsoft.com/office/drawing/2014/chart" uri="{C3380CC4-5D6E-409C-BE32-E72D297353CC}">
                <c16:uniqueId val="{00000001-52D5-409A-96DE-818F82E1BC88}"/>
              </c:ext>
            </c:extLst>
          </c:dPt>
          <c:dLbls>
            <c:dLbl>
              <c:idx val="0"/>
              <c:layout>
                <c:manualLayout>
                  <c:x val="4.6168246992345646E-2"/>
                  <c:y val="0.20565954435305409"/>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D5-409A-96DE-818F82E1BC88}"/>
                </c:ext>
              </c:extLst>
            </c:dLbl>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'L3 CDW measure'!$AA$2:$AB$2</c15:sqref>
                  </c15:fullRef>
                </c:ext>
              </c:extLst>
              <c:f>'L3 CDW measure'!$AA$2</c:f>
              <c:numCache>
                <c:formatCode>General</c:formatCode>
                <c:ptCount val="1"/>
              </c:numCache>
            </c:numRef>
          </c:cat>
          <c:val>
            <c:numRef>
              <c:extLst>
                <c:ext xmlns:c15="http://schemas.microsoft.com/office/drawing/2012/chart" uri="{02D57815-91ED-43cb-92C2-25804820EDAC}">
                  <c15:fullRef>
                    <c15:sqref>('L3 CDW measure'!$O$4,'L3 CDW measure'!$AC$4)</c15:sqref>
                  </c15:fullRef>
                </c:ext>
              </c:extLst>
              <c:f>'L3 CDW measure'!$O$4</c:f>
              <c:numCache>
                <c:formatCode>0.0%</c:formatCode>
                <c:ptCount val="1"/>
                <c:pt idx="0">
                  <c:v>1.132041845627417E-2</c:v>
                </c:pt>
              </c:numCache>
            </c:numRef>
          </c:val>
          <c:extLst>
            <c:ext xmlns:c15="http://schemas.microsoft.com/office/drawing/2012/chart" uri="{02D57815-91ED-43cb-92C2-25804820EDAC}">
              <c15:categoryFilterExceptions>
                <c15:categoryFilterException>
                  <c15:sqref>'L3 CDW measure'!$AC$4</c15:sqref>
                  <c15:dLbl>
                    <c:idx val="0"/>
                    <c:layout>
                      <c:manualLayout>
                        <c:x val="4.0397219635229922E-2"/>
                        <c:y val="-0.16029803609994148"/>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A-E009-41A5-B5DA-44B7D4CF289A}"/>
                      </c:ext>
                    </c:extLst>
                  </c15:dLbl>
                </c15:categoryFilterException>
              </c15:categoryFilterExceptions>
            </c:ext>
            <c:ext xmlns:c16="http://schemas.microsoft.com/office/drawing/2014/chart" uri="{C3380CC4-5D6E-409C-BE32-E72D297353CC}">
              <c16:uniqueId val="{00000002-52D5-409A-96DE-818F82E1BC88}"/>
            </c:ext>
          </c:extLst>
        </c:ser>
        <c:ser>
          <c:idx val="1"/>
          <c:order val="1"/>
          <c:tx>
            <c:strRef>
              <c:f>'L3 CDW measure'!$M$5</c:f>
              <c:strCache>
                <c:ptCount val="1"/>
                <c:pt idx="0">
                  <c:v>Recycling</c:v>
                </c:pt>
              </c:strCache>
            </c:strRef>
          </c:tx>
          <c:spPr>
            <a:solidFill>
              <a:srgbClr val="92D050"/>
            </a:solidFill>
            <a:ln w="12700">
              <a:solidFill>
                <a:sysClr val="windowText" lastClr="000000"/>
              </a:solidFill>
            </a:ln>
            <a:effectLst/>
          </c:spPr>
          <c:invertIfNegative val="0"/>
          <c:dPt>
            <c:idx val="0"/>
            <c:invertIfNegative val="0"/>
            <c:bubble3D val="0"/>
            <c:spPr>
              <a:solidFill>
                <a:srgbClr val="92D050"/>
              </a:solidFill>
              <a:ln w="12700">
                <a:solidFill>
                  <a:sysClr val="windowText" lastClr="000000"/>
                </a:solidFill>
              </a:ln>
              <a:effectLst/>
            </c:spPr>
            <c:extLst>
              <c:ext xmlns:c16="http://schemas.microsoft.com/office/drawing/2014/chart" uri="{C3380CC4-5D6E-409C-BE32-E72D297353CC}">
                <c16:uniqueId val="{00000004-52D5-409A-96DE-818F82E1BC88}"/>
              </c:ext>
            </c:extLst>
          </c:dPt>
          <c:dLbls>
            <c:dLbl>
              <c:idx val="0"/>
              <c:layout>
                <c:manualLayout>
                  <c:x val="-2.680452308949886E-2"/>
                  <c:y val="-0.21025139897372078"/>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92D05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D5-409A-96DE-818F82E1BC8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92D05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'L3 CDW measure'!$AA$2:$AB$2</c15:sqref>
                  </c15:fullRef>
                </c:ext>
              </c:extLst>
              <c:f>'L3 CDW measure'!$AA$2</c:f>
              <c:numCache>
                <c:formatCode>General</c:formatCode>
                <c:ptCount val="1"/>
              </c:numCache>
            </c:numRef>
          </c:cat>
          <c:val>
            <c:numRef>
              <c:extLst>
                <c:ext xmlns:c15="http://schemas.microsoft.com/office/drawing/2012/chart" uri="{02D57815-91ED-43cb-92C2-25804820EDAC}">
                  <c15:fullRef>
                    <c15:sqref>('L3 CDW measure'!$O$5,'L3 CDW measure'!$AC$5)</c15:sqref>
                  </c15:fullRef>
                </c:ext>
              </c:extLst>
              <c:f>'L3 CDW measure'!$O$5</c:f>
              <c:numCache>
                <c:formatCode>0.0%</c:formatCode>
                <c:ptCount val="1"/>
                <c:pt idx="0">
                  <c:v>0.92730658872591831</c:v>
                </c:pt>
              </c:numCache>
            </c:numRef>
          </c:val>
          <c:extLst>
            <c:ext xmlns:c15="http://schemas.microsoft.com/office/drawing/2012/chart" uri="{02D57815-91ED-43cb-92C2-25804820EDAC}">
              <c15:categoryFilterExceptions>
                <c15:categoryFilterException>
                  <c15:sqref>'L3 CDW measure'!$AC$5</c15:sqref>
                  <c15:dLbl>
                    <c:idx val="0"/>
                    <c:layout>
                      <c:manualLayout>
                        <c:x val="-5.771031376461417E-2"/>
                        <c:y val="-0.14764292798678821"/>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92D050"/>
                            </a:solidFill>
                            <a:latin typeface="+mn-lt"/>
                            <a:ea typeface="+mn-ea"/>
                            <a:cs typeface="+mn-cs"/>
                          </a:defRPr>
                        </a:pPr>
                        <a:endParaRPr lang="en-US"/>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B-E009-41A5-B5DA-44B7D4CF289A}"/>
                      </c:ext>
                    </c:extLst>
                  </c15:dLbl>
                </c15:categoryFilterException>
              </c15:categoryFilterExceptions>
            </c:ext>
            <c:ext xmlns:c16="http://schemas.microsoft.com/office/drawing/2014/chart" uri="{C3380CC4-5D6E-409C-BE32-E72D297353CC}">
              <c16:uniqueId val="{00000005-52D5-409A-96DE-818F82E1BC88}"/>
            </c:ext>
          </c:extLst>
        </c:ser>
        <c:ser>
          <c:idx val="2"/>
          <c:order val="2"/>
          <c:tx>
            <c:strRef>
              <c:f>'L3 CDW measure'!$M$6</c:f>
              <c:strCache>
                <c:ptCount val="1"/>
                <c:pt idx="0">
                  <c:v>Material (backfill)</c:v>
                </c:pt>
              </c:strCache>
            </c:strRef>
          </c:tx>
          <c:spPr>
            <a:solidFill>
              <a:schemeClr val="accent4"/>
            </a:solidFill>
            <a:ln w="12700">
              <a:solidFill>
                <a:sysClr val="windowText" lastClr="000000"/>
              </a:solidFill>
            </a:ln>
            <a:effectLst/>
          </c:spPr>
          <c:invertIfNegative val="0"/>
          <c:dPt>
            <c:idx val="0"/>
            <c:invertIfNegative val="0"/>
            <c:bubble3D val="0"/>
            <c:spPr>
              <a:solidFill>
                <a:schemeClr val="accent4"/>
              </a:solidFill>
              <a:ln w="12700">
                <a:solidFill>
                  <a:sysClr val="windowText" lastClr="000000"/>
                </a:solidFill>
              </a:ln>
              <a:effectLst/>
            </c:spPr>
            <c:extLst>
              <c:ext xmlns:c16="http://schemas.microsoft.com/office/drawing/2014/chart" uri="{C3380CC4-5D6E-409C-BE32-E72D297353CC}">
                <c16:uniqueId val="{00000007-52D5-409A-96DE-818F82E1BC88}"/>
              </c:ext>
            </c:extLst>
          </c:dPt>
          <c:dLbls>
            <c:dLbl>
              <c:idx val="0"/>
              <c:layout>
                <c:manualLayout>
                  <c:x val="-9.742566476088442E-2"/>
                  <c:y val="0.18900825142526603"/>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D5-409A-96DE-818F82E1BC88}"/>
                </c:ext>
              </c:extLst>
            </c:dLbl>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'L3 CDW measure'!$AA$2:$AB$2</c15:sqref>
                  </c15:fullRef>
                </c:ext>
              </c:extLst>
              <c:f>'L3 CDW measure'!$AA$2</c:f>
              <c:numCache>
                <c:formatCode>General</c:formatCode>
                <c:ptCount val="1"/>
              </c:numCache>
            </c:numRef>
          </c:cat>
          <c:val>
            <c:numRef>
              <c:extLst>
                <c:ext xmlns:c15="http://schemas.microsoft.com/office/drawing/2012/chart" uri="{02D57815-91ED-43cb-92C2-25804820EDAC}">
                  <c15:fullRef>
                    <c15:sqref>('L3 CDW measure'!$O$6,'L3 CDW measure'!$AC$6)</c15:sqref>
                  </c15:fullRef>
                </c:ext>
              </c:extLst>
              <c:f>'L3 CDW measure'!$O$6</c:f>
              <c:numCache>
                <c:formatCode>0.0%</c:formatCode>
                <c:ptCount val="1"/>
                <c:pt idx="0">
                  <c:v>5.3816542210974677E-2</c:v>
                </c:pt>
              </c:numCache>
            </c:numRef>
          </c:val>
          <c:extLst>
            <c:ext xmlns:c15="http://schemas.microsoft.com/office/drawing/2012/chart" uri="{02D57815-91ED-43cb-92C2-25804820EDAC}">
              <c15:categoryFilterExceptions>
                <c15:categoryFilterException>
                  <c15:sqref>'L3 CDW measure'!$AC$6</c15:sqref>
                  <c15:dLbl>
                    <c:idx val="0"/>
                    <c:layout>
                      <c:manualLayout>
                        <c:x val="-7.7908923582229242E-2"/>
                        <c:y val="-0.15607966672889037"/>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mn-lt"/>
                            <a:ea typeface="+mn-ea"/>
                            <a:cs typeface="+mn-cs"/>
                          </a:defRPr>
                        </a:pPr>
                        <a:endParaRPr lang="en-US"/>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C-E009-41A5-B5DA-44B7D4CF289A}"/>
                      </c:ext>
                    </c:extLst>
                  </c15:dLbl>
                </c15:categoryFilterException>
              </c15:categoryFilterExceptions>
            </c:ext>
            <c:ext xmlns:c16="http://schemas.microsoft.com/office/drawing/2014/chart" uri="{C3380CC4-5D6E-409C-BE32-E72D297353CC}">
              <c16:uniqueId val="{00000008-52D5-409A-96DE-818F82E1BC88}"/>
            </c:ext>
          </c:extLst>
        </c:ser>
        <c:ser>
          <c:idx val="3"/>
          <c:order val="3"/>
          <c:tx>
            <c:strRef>
              <c:f>'L3 CDW measure'!$M$7</c:f>
              <c:strCache>
                <c:ptCount val="1"/>
                <c:pt idx="0">
                  <c:v>Energy</c:v>
                </c:pt>
              </c:strCache>
            </c:strRef>
          </c:tx>
          <c:spPr>
            <a:solidFill>
              <a:schemeClr val="accent2"/>
            </a:solidFill>
            <a:ln w="12700">
              <a:solidFill>
                <a:sysClr val="windowText" lastClr="000000"/>
              </a:solidFill>
            </a:ln>
            <a:effectLst/>
          </c:spPr>
          <c:invertIfNegative val="0"/>
          <c:dPt>
            <c:idx val="0"/>
            <c:invertIfNegative val="0"/>
            <c:bubble3D val="0"/>
            <c:spPr>
              <a:solidFill>
                <a:schemeClr val="accent2"/>
              </a:solidFill>
              <a:ln w="12700">
                <a:solidFill>
                  <a:sysClr val="windowText" lastClr="000000"/>
                </a:solidFill>
              </a:ln>
              <a:effectLst/>
            </c:spPr>
            <c:extLst>
              <c:ext xmlns:c16="http://schemas.microsoft.com/office/drawing/2014/chart" uri="{C3380CC4-5D6E-409C-BE32-E72D297353CC}">
                <c16:uniqueId val="{0000000A-52D5-409A-96DE-818F82E1BC88}"/>
              </c:ext>
            </c:extLst>
          </c:dPt>
          <c:dLbls>
            <c:dLbl>
              <c:idx val="0"/>
              <c:layout>
                <c:manualLayout>
                  <c:x val="-4.4498548188734541E-2"/>
                  <c:y val="-0.23792631998702909"/>
                </c:manualLayout>
              </c:layout>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2D5-409A-96DE-818F82E1BC8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'L3 CDW measure'!$AA$2:$AB$2</c15:sqref>
                  </c15:fullRef>
                </c:ext>
              </c:extLst>
              <c:f>'L3 CDW measure'!$AA$2</c:f>
              <c:numCache>
                <c:formatCode>General</c:formatCode>
                <c:ptCount val="1"/>
              </c:numCache>
            </c:numRef>
          </c:cat>
          <c:val>
            <c:numRef>
              <c:extLst>
                <c:ext xmlns:c15="http://schemas.microsoft.com/office/drawing/2012/chart" uri="{02D57815-91ED-43cb-92C2-25804820EDAC}">
                  <c15:fullRef>
                    <c15:sqref>('L3 CDW measure'!$O$7,'L3 CDW measure'!$AC$7)</c15:sqref>
                  </c15:fullRef>
                </c:ext>
              </c:extLst>
              <c:f>'L3 CDW measure'!$O$7</c:f>
              <c:numCache>
                <c:formatCode>0.0%</c:formatCode>
                <c:ptCount val="1"/>
                <c:pt idx="0">
                  <c:v>4.9687227103420006E-3</c:v>
                </c:pt>
              </c:numCache>
            </c:numRef>
          </c:val>
          <c:extLst>
            <c:ext xmlns:c15="http://schemas.microsoft.com/office/drawing/2012/chart" uri="{02D57815-91ED-43cb-92C2-25804820EDAC}">
              <c15:categoryFilterExceptions>
                <c15:categoryFilterException>
                  <c15:sqref>'L3 CDW measure'!$AC$7</c15:sqref>
                  <c15:dLbl>
                    <c:idx val="0"/>
                    <c:layout>
                      <c:manualLayout>
                        <c:x val="-4.3282735323460733E-2"/>
                        <c:y val="0.11811434238943055"/>
                      </c:manualLayout>
                    </c:layout>
                    <c:spPr>
                      <a:no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en-US"/>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D-E009-41A5-B5DA-44B7D4CF289A}"/>
                      </c:ext>
                    </c:extLst>
                  </c15:dLbl>
                </c15:categoryFilterException>
              </c15:categoryFilterExceptions>
            </c:ext>
            <c:ext xmlns:c16="http://schemas.microsoft.com/office/drawing/2014/chart" uri="{C3380CC4-5D6E-409C-BE32-E72D297353CC}">
              <c16:uniqueId val="{0000000B-52D5-409A-96DE-818F82E1BC88}"/>
            </c:ext>
          </c:extLst>
        </c:ser>
        <c:ser>
          <c:idx val="4"/>
          <c:order val="4"/>
          <c:tx>
            <c:v>Disposal</c:v>
          </c:tx>
          <c:spPr>
            <a:solidFill>
              <a:srgbClr val="FF0000"/>
            </a:solidFill>
            <a:ln w="12700">
              <a:solidFill>
                <a:sysClr val="windowText" lastClr="000000"/>
              </a:solidFill>
            </a:ln>
            <a:effectLst/>
          </c:spPr>
          <c:invertIfNegative val="0"/>
          <c:dPt>
            <c:idx val="0"/>
            <c:invertIfNegative val="0"/>
            <c:bubble3D val="0"/>
            <c:spPr>
              <a:solidFill>
                <a:srgbClr val="FF0000"/>
              </a:solidFill>
              <a:ln w="12700">
                <a:solidFill>
                  <a:sysClr val="windowText" lastClr="000000"/>
                </a:solidFill>
              </a:ln>
              <a:effectLst/>
            </c:spPr>
            <c:extLst>
              <c:ext xmlns:c16="http://schemas.microsoft.com/office/drawing/2014/chart" uri="{C3380CC4-5D6E-409C-BE32-E72D297353CC}">
                <c16:uniqueId val="{0000000D-52D5-409A-96DE-818F82E1BC88}"/>
              </c:ext>
            </c:extLst>
          </c:dPt>
          <c:dLbls>
            <c:dLbl>
              <c:idx val="0"/>
              <c:layout>
                <c:manualLayout>
                  <c:x val="6.5306947099943871E-3"/>
                  <c:y val="0.19174649325381343"/>
                </c:manualLayout>
              </c:layout>
              <c:tx>
                <c:rich>
                  <a:bodyPr/>
                  <a:lstStyle/>
                  <a:p>
                    <a:fld id="{E7EA1748-B1E0-4C02-93D5-21CA983CC7A2}" type="VALUE">
                      <a:rPr lang="en-US">
                        <a:solidFill>
                          <a:srgbClr val="FF0000"/>
                        </a:solidFill>
                      </a:rPr>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2D5-409A-96DE-818F82E1BC88}"/>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'L3 CDW measure'!$AA$2:$AB$2</c15:sqref>
                  </c15:fullRef>
                </c:ext>
              </c:extLst>
              <c:f>'L3 CDW measure'!$AA$2</c:f>
              <c:numCache>
                <c:formatCode>General</c:formatCode>
                <c:ptCount val="1"/>
              </c:numCache>
            </c:numRef>
          </c:cat>
          <c:val>
            <c:numRef>
              <c:extLst>
                <c:ext xmlns:c15="http://schemas.microsoft.com/office/drawing/2012/chart" uri="{02D57815-91ED-43cb-92C2-25804820EDAC}">
                  <c15:fullRef>
                    <c15:sqref>('L3 CDW measure'!$O$8,'L3 CDW measure'!$AC$8)</c15:sqref>
                  </c15:fullRef>
                </c:ext>
              </c:extLst>
              <c:f>'L3 CDW measure'!$O$8</c:f>
              <c:numCache>
                <c:formatCode>0.0%</c:formatCode>
                <c:ptCount val="1"/>
                <c:pt idx="0">
                  <c:v>2.5877278964908843E-3</c:v>
                </c:pt>
              </c:numCache>
            </c:numRef>
          </c:val>
          <c:extLst>
            <c:ext xmlns:c15="http://schemas.microsoft.com/office/drawing/2012/chart" uri="{02D57815-91ED-43cb-92C2-25804820EDAC}">
              <c15:categoryFilterExceptions>
                <c15:categoryFilterException>
                  <c15:sqref>'L3 CDW measure'!$AC$8</c15:sqref>
                  <c15:dLbl>
                    <c:idx val="0"/>
                    <c:layout>
                      <c:manualLayout>
                        <c:x val="0"/>
                        <c:y val="-0.16029803609994148"/>
                      </c:manualLayout>
                    </c:layout>
                    <c:spPr>
                      <a:no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E-E009-41A5-B5DA-44B7D4CF289A}"/>
                      </c:ext>
                    </c:extLst>
                  </c15:dLbl>
                </c15:categoryFilterException>
              </c15:categoryFilterExceptions>
            </c:ext>
            <c:ext xmlns:c16="http://schemas.microsoft.com/office/drawing/2014/chart" uri="{C3380CC4-5D6E-409C-BE32-E72D297353CC}">
              <c16:uniqueId val="{0000000E-52D5-409A-96DE-818F82E1BC88}"/>
            </c:ext>
          </c:extLst>
        </c:ser>
        <c:dLbls>
          <c:showLegendKey val="0"/>
          <c:showVal val="0"/>
          <c:showCatName val="0"/>
          <c:showSerName val="0"/>
          <c:showPercent val="0"/>
          <c:showBubbleSize val="0"/>
        </c:dLbls>
        <c:gapWidth val="150"/>
        <c:overlap val="100"/>
        <c:axId val="344102688"/>
        <c:axId val="344107000"/>
      </c:barChart>
      <c:valAx>
        <c:axId val="34410700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102688"/>
        <c:crosses val="autoZero"/>
        <c:crossBetween val="between"/>
        <c:majorUnit val="0.1"/>
      </c:valAx>
      <c:catAx>
        <c:axId val="34410268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107000"/>
        <c:crosses val="autoZero"/>
        <c:auto val="1"/>
        <c:lblAlgn val="ctr"/>
        <c:lblOffset val="50"/>
        <c:tickLblSkip val="1"/>
        <c:noMultiLvlLbl val="0"/>
      </c:catAx>
      <c:spPr>
        <a:noFill/>
        <a:ln>
          <a:noFill/>
        </a:ln>
        <a:effectLst/>
      </c:spPr>
    </c:plotArea>
    <c:legend>
      <c:legendPos val="b"/>
      <c:layout>
        <c:manualLayout>
          <c:xMode val="edge"/>
          <c:yMode val="edge"/>
          <c:x val="0.12848620553303194"/>
          <c:y val="0.89033790773681465"/>
          <c:w val="0.80111137049017878"/>
          <c:h val="7.478188426362479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a:t>Split of</a:t>
            </a:r>
            <a:r>
              <a:rPr lang="es-ES" sz="1100" baseline="0"/>
              <a:t> CDW codes (all 17 except 17 05) by properties</a:t>
            </a:r>
            <a:endParaRPr lang="es-ES" sz="1100"/>
          </a:p>
        </c:rich>
      </c:tx>
      <c:layout>
        <c:manualLayout>
          <c:xMode val="edge"/>
          <c:yMode val="edge"/>
          <c:x val="0.10193728941830009"/>
          <c:y val="4.9839767110933901E-2"/>
        </c:manualLayout>
      </c:layout>
      <c:overlay val="0"/>
      <c:spPr>
        <a:solidFill>
          <a:sysClr val="window" lastClr="FF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7078551015046546E-2"/>
          <c:y val="4.6402063081562007E-2"/>
          <c:w val="0.90495088292318826"/>
          <c:h val="0.74903259836274128"/>
        </c:manualLayout>
      </c:layout>
      <c:barChart>
        <c:barDir val="bar"/>
        <c:grouping val="stacked"/>
        <c:varyColors val="0"/>
        <c:ser>
          <c:idx val="0"/>
          <c:order val="0"/>
          <c:tx>
            <c:strRef>
              <c:f>'L3 CDW measure'!$L$19</c:f>
              <c:strCache>
                <c:ptCount val="1"/>
                <c:pt idx="0">
                  <c:v>Inert</c:v>
                </c:pt>
              </c:strCache>
            </c:strRef>
          </c:tx>
          <c:spPr>
            <a:solidFill>
              <a:srgbClr val="92D050"/>
            </a:solidFill>
            <a:ln w="12700">
              <a:solidFill>
                <a:sysClr val="windowText" lastClr="000000"/>
              </a:solidFill>
            </a:ln>
            <a:effectLst/>
          </c:spPr>
          <c:invertIfNegative val="0"/>
          <c:dLbls>
            <c:dLbl>
              <c:idx val="0"/>
              <c:layout>
                <c:manualLayout>
                  <c:x val="-0.12106881380755982"/>
                  <c:y val="0.28496988419897623"/>
                </c:manualLayout>
              </c:layout>
              <c:spPr>
                <a:solidFill>
                  <a:sysClr val="window" lastClr="FFFFFF"/>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54-48CD-803A-D00743F29AD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'L3 CDW measure'!$N$18</c:f>
              <c:strCache>
                <c:ptCount val="1"/>
                <c:pt idx="0">
                  <c:v>CDW share</c:v>
                </c:pt>
              </c:strCache>
            </c:strRef>
          </c:cat>
          <c:val>
            <c:numRef>
              <c:f>'L3 CDW measure'!$N$19</c:f>
              <c:numCache>
                <c:formatCode>0.0%</c:formatCode>
                <c:ptCount val="1"/>
                <c:pt idx="0">
                  <c:v>0.98112313093689296</c:v>
                </c:pt>
              </c:numCache>
            </c:numRef>
          </c:val>
          <c:extLst>
            <c:ext xmlns:c16="http://schemas.microsoft.com/office/drawing/2014/chart" uri="{C3380CC4-5D6E-409C-BE32-E72D297353CC}">
              <c16:uniqueId val="{00000001-8454-48CD-803A-D00743F29AD4}"/>
            </c:ext>
          </c:extLst>
        </c:ser>
        <c:ser>
          <c:idx val="1"/>
          <c:order val="1"/>
          <c:tx>
            <c:strRef>
              <c:f>'L3 CDW measure'!$L$20</c:f>
              <c:strCache>
                <c:ptCount val="1"/>
                <c:pt idx="0">
                  <c:v>Non haz</c:v>
                </c:pt>
              </c:strCache>
            </c:strRef>
          </c:tx>
          <c:spPr>
            <a:solidFill>
              <a:srgbClr val="FFC000"/>
            </a:solidFill>
            <a:ln w="12700">
              <a:solidFill>
                <a:sysClr val="windowText" lastClr="000000"/>
              </a:solidFill>
            </a:ln>
            <a:effectLst/>
          </c:spPr>
          <c:invertIfNegative val="0"/>
          <c:dLbls>
            <c:dLbl>
              <c:idx val="0"/>
              <c:layout>
                <c:manualLayout>
                  <c:x val="-0.23550055215865079"/>
                  <c:y val="0.27450980392156854"/>
                </c:manualLayout>
              </c:layout>
              <c:spPr>
                <a:solidFill>
                  <a:sysClr val="window" lastClr="FFFFFF"/>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54-48CD-803A-D00743F29AD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'L3 CDW measure'!$N$18</c:f>
              <c:strCache>
                <c:ptCount val="1"/>
                <c:pt idx="0">
                  <c:v>CDW share</c:v>
                </c:pt>
              </c:strCache>
            </c:strRef>
          </c:cat>
          <c:val>
            <c:numRef>
              <c:f>'L3 CDW measure'!$N$20</c:f>
              <c:numCache>
                <c:formatCode>0.0%</c:formatCode>
                <c:ptCount val="1"/>
                <c:pt idx="0">
                  <c:v>1.6289141166616172E-2</c:v>
                </c:pt>
              </c:numCache>
            </c:numRef>
          </c:val>
          <c:extLst>
            <c:ext xmlns:c16="http://schemas.microsoft.com/office/drawing/2014/chart" uri="{C3380CC4-5D6E-409C-BE32-E72D297353CC}">
              <c16:uniqueId val="{00000003-8454-48CD-803A-D00743F29AD4}"/>
            </c:ext>
          </c:extLst>
        </c:ser>
        <c:ser>
          <c:idx val="2"/>
          <c:order val="2"/>
          <c:tx>
            <c:strRef>
              <c:f>'L3 CDW measure'!$L$21</c:f>
              <c:strCache>
                <c:ptCount val="1"/>
                <c:pt idx="0">
                  <c:v>Haz</c:v>
                </c:pt>
              </c:strCache>
            </c:strRef>
          </c:tx>
          <c:spPr>
            <a:solidFill>
              <a:srgbClr val="FF0000"/>
            </a:solidFill>
            <a:ln w="12700">
              <a:solidFill>
                <a:sysClr val="windowText" lastClr="000000"/>
              </a:solidFill>
            </a:ln>
            <a:effectLst/>
          </c:spPr>
          <c:invertIfNegative val="0"/>
          <c:dLbls>
            <c:dLbl>
              <c:idx val="0"/>
              <c:layout>
                <c:manualLayout>
                  <c:x val="-2.6216503911286698E-2"/>
                  <c:y val="0.28414968581300104"/>
                </c:manualLayout>
              </c:layout>
              <c:spPr>
                <a:solidFill>
                  <a:sysClr val="window" lastClr="FFFFFF"/>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54-48CD-803A-D00743F29AD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'L3 CDW measure'!$N$18</c:f>
              <c:strCache>
                <c:ptCount val="1"/>
                <c:pt idx="0">
                  <c:v>CDW share</c:v>
                </c:pt>
              </c:strCache>
            </c:strRef>
          </c:cat>
          <c:val>
            <c:numRef>
              <c:f>'L3 CDW measure'!$N$21</c:f>
              <c:numCache>
                <c:formatCode>0.0%</c:formatCode>
                <c:ptCount val="1"/>
                <c:pt idx="0">
                  <c:v>2.5877278964908843E-3</c:v>
                </c:pt>
              </c:numCache>
            </c:numRef>
          </c:val>
          <c:extLst>
            <c:ext xmlns:c16="http://schemas.microsoft.com/office/drawing/2014/chart" uri="{C3380CC4-5D6E-409C-BE32-E72D297353CC}">
              <c16:uniqueId val="{00000005-8454-48CD-803A-D00743F29AD4}"/>
            </c:ext>
          </c:extLst>
        </c:ser>
        <c:dLbls>
          <c:showLegendKey val="0"/>
          <c:showVal val="0"/>
          <c:showCatName val="0"/>
          <c:showSerName val="0"/>
          <c:showPercent val="0"/>
          <c:showBubbleSize val="0"/>
        </c:dLbls>
        <c:gapWidth val="125"/>
        <c:overlap val="100"/>
        <c:axId val="344108960"/>
        <c:axId val="344107392"/>
      </c:barChart>
      <c:valAx>
        <c:axId val="344107392"/>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108960"/>
        <c:crosses val="autoZero"/>
        <c:crossBetween val="between"/>
        <c:majorUnit val="0.1"/>
      </c:valAx>
      <c:catAx>
        <c:axId val="344108960"/>
        <c:scaling>
          <c:orientation val="minMax"/>
        </c:scaling>
        <c:delete val="1"/>
        <c:axPos val="l"/>
        <c:numFmt formatCode="General" sourceLinked="1"/>
        <c:majorTickMark val="out"/>
        <c:minorTickMark val="none"/>
        <c:tickLblPos val="nextTo"/>
        <c:crossAx val="344107392"/>
        <c:crosses val="autoZero"/>
        <c:auto val="1"/>
        <c:lblAlgn val="ctr"/>
        <c:lblOffset val="50"/>
        <c:tickLblSkip val="1"/>
        <c:noMultiLvlLbl val="0"/>
      </c:catAx>
      <c:spPr>
        <a:noFill/>
        <a:ln>
          <a:noFill/>
        </a:ln>
        <a:effectLst/>
      </c:spPr>
    </c:plotArea>
    <c:legend>
      <c:legendPos val="b"/>
      <c:layout>
        <c:manualLayout>
          <c:xMode val="edge"/>
          <c:yMode val="edge"/>
          <c:x val="0.70044425907789243"/>
          <c:y val="5.1912630495815432E-2"/>
          <c:w val="0.26347449327280786"/>
          <c:h val="0.1715170603674540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79375</xdr:colOff>
      <xdr:row>17</xdr:row>
      <xdr:rowOff>0</xdr:rowOff>
    </xdr:from>
    <xdr:to>
      <xdr:col>2</xdr:col>
      <xdr:colOff>746125</xdr:colOff>
      <xdr:row>49</xdr:row>
      <xdr:rowOff>47625</xdr:rowOff>
    </xdr:to>
    <xdr:pic>
      <xdr:nvPicPr>
        <xdr:cNvPr id="35" name="Picture 3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75" y="3190875"/>
          <a:ext cx="5588000" cy="61436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305954</xdr:colOff>
      <xdr:row>16</xdr:row>
      <xdr:rowOff>76200</xdr:rowOff>
    </xdr:from>
    <xdr:to>
      <xdr:col>31</xdr:col>
      <xdr:colOff>122767</xdr:colOff>
      <xdr:row>29</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296333</xdr:colOff>
      <xdr:row>29</xdr:row>
      <xdr:rowOff>76201</xdr:rowOff>
    </xdr:from>
    <xdr:to>
      <xdr:col>30</xdr:col>
      <xdr:colOff>503767</xdr:colOff>
      <xdr:row>35</xdr:row>
      <xdr:rowOff>122767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130307</xdr:colOff>
      <xdr:row>12</xdr:row>
      <xdr:rowOff>137837</xdr:rowOff>
    </xdr:from>
    <xdr:to>
      <xdr:col>38</xdr:col>
      <xdr:colOff>365606</xdr:colOff>
      <xdr:row>27</xdr:row>
      <xdr:rowOff>53909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137515</xdr:colOff>
      <xdr:row>27</xdr:row>
      <xdr:rowOff>144874</xdr:rowOff>
    </xdr:from>
    <xdr:to>
      <xdr:col>38</xdr:col>
      <xdr:colOff>355600</xdr:colOff>
      <xdr:row>34</xdr:row>
      <xdr:rowOff>39403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1153</xdr:colOff>
      <xdr:row>13</xdr:row>
      <xdr:rowOff>96308</xdr:rowOff>
    </xdr:from>
    <xdr:to>
      <xdr:col>25</xdr:col>
      <xdr:colOff>266700</xdr:colOff>
      <xdr:row>23</xdr:row>
      <xdr:rowOff>71060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564393</xdr:colOff>
      <xdr:row>24</xdr:row>
      <xdr:rowOff>175076</xdr:rowOff>
    </xdr:from>
    <xdr:to>
      <xdr:col>25</xdr:col>
      <xdr:colOff>238427</xdr:colOff>
      <xdr:row>31</xdr:row>
      <xdr:rowOff>43994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D66"/>
  <sheetViews>
    <sheetView zoomScale="75" zoomScaleNormal="75" workbookViewId="0">
      <selection activeCell="O7" sqref="O7:U7"/>
    </sheetView>
  </sheetViews>
  <sheetFormatPr defaultRowHeight="15" x14ac:dyDescent="0.25"/>
  <cols>
    <col min="1" max="1" width="20.7109375" customWidth="1"/>
    <col min="2" max="2" width="53.140625" customWidth="1"/>
    <col min="3" max="3" width="13.28515625" customWidth="1"/>
    <col min="11" max="11" width="10.5703125" customWidth="1"/>
    <col min="13" max="13" width="10.28515625" customWidth="1"/>
    <col min="17" max="17" width="8.140625" customWidth="1"/>
    <col min="18" max="18" width="10.42578125" customWidth="1"/>
    <col min="19" max="19" width="10.140625" customWidth="1"/>
    <col min="23" max="23" width="10.140625" customWidth="1"/>
  </cols>
  <sheetData>
    <row r="1" spans="1:30" ht="18.75" customHeight="1" thickBot="1" x14ac:dyDescent="0.35">
      <c r="A1" s="357" t="s">
        <v>457</v>
      </c>
      <c r="B1" s="358"/>
      <c r="C1" s="359"/>
      <c r="D1" s="357" t="s">
        <v>457</v>
      </c>
      <c r="E1" s="358"/>
      <c r="F1" s="358"/>
      <c r="G1" s="358"/>
      <c r="H1" s="358"/>
      <c r="I1" s="358"/>
      <c r="J1" s="358"/>
      <c r="K1" s="358"/>
      <c r="L1" s="358"/>
      <c r="M1" s="359"/>
      <c r="N1" s="357" t="s">
        <v>457</v>
      </c>
      <c r="O1" s="358"/>
      <c r="P1" s="358"/>
      <c r="Q1" s="358"/>
      <c r="R1" s="358"/>
      <c r="S1" s="358"/>
      <c r="T1" s="358"/>
      <c r="U1" s="358"/>
      <c r="V1" s="358"/>
      <c r="W1" s="359"/>
    </row>
    <row r="2" spans="1:30" x14ac:dyDescent="0.25">
      <c r="A2" s="360" t="s">
        <v>268</v>
      </c>
      <c r="B2" s="361"/>
      <c r="C2" s="362"/>
      <c r="D2" s="360" t="s">
        <v>269</v>
      </c>
      <c r="E2" s="361"/>
      <c r="F2" s="361"/>
      <c r="G2" s="361"/>
      <c r="H2" s="361"/>
      <c r="I2" s="361"/>
      <c r="J2" s="361"/>
      <c r="K2" s="361"/>
      <c r="L2" s="361"/>
      <c r="M2" s="362"/>
      <c r="N2" s="360" t="s">
        <v>270</v>
      </c>
      <c r="O2" s="361"/>
      <c r="P2" s="361"/>
      <c r="Q2" s="361"/>
      <c r="R2" s="361"/>
      <c r="S2" s="361"/>
      <c r="T2" s="361"/>
      <c r="U2" s="361"/>
      <c r="V2" s="361"/>
      <c r="W2" s="362"/>
    </row>
    <row r="3" spans="1:30" ht="15" customHeight="1" x14ac:dyDescent="0.25">
      <c r="A3" s="399" t="s">
        <v>271</v>
      </c>
      <c r="B3" s="400"/>
      <c r="C3" s="401"/>
      <c r="D3" s="363" t="s">
        <v>173</v>
      </c>
      <c r="E3" s="364"/>
      <c r="F3" s="364"/>
      <c r="G3" s="364"/>
      <c r="H3" s="364"/>
      <c r="I3" s="364"/>
      <c r="J3" s="364"/>
      <c r="K3" s="364"/>
      <c r="L3" s="364"/>
      <c r="M3" s="365"/>
      <c r="N3" s="363" t="s">
        <v>172</v>
      </c>
      <c r="O3" s="364"/>
      <c r="P3" s="364"/>
      <c r="Q3" s="364"/>
      <c r="R3" s="364"/>
      <c r="S3" s="364"/>
      <c r="T3" s="364"/>
      <c r="U3" s="364"/>
      <c r="V3" s="364"/>
      <c r="W3" s="365"/>
    </row>
    <row r="4" spans="1:30" ht="19.5" customHeight="1" x14ac:dyDescent="0.25">
      <c r="A4" s="402"/>
      <c r="B4" s="403"/>
      <c r="C4" s="404"/>
      <c r="D4" s="366"/>
      <c r="E4" s="367"/>
      <c r="F4" s="367"/>
      <c r="G4" s="367"/>
      <c r="H4" s="367"/>
      <c r="I4" s="367"/>
      <c r="J4" s="367"/>
      <c r="K4" s="367"/>
      <c r="L4" s="367"/>
      <c r="M4" s="368"/>
      <c r="N4" s="366"/>
      <c r="O4" s="367"/>
      <c r="P4" s="367"/>
      <c r="Q4" s="367"/>
      <c r="R4" s="367"/>
      <c r="S4" s="367"/>
      <c r="T4" s="367"/>
      <c r="U4" s="367"/>
      <c r="V4" s="367"/>
      <c r="W4" s="368"/>
    </row>
    <row r="5" spans="1:30" ht="18" customHeight="1" x14ac:dyDescent="0.25">
      <c r="A5" s="402"/>
      <c r="B5" s="403"/>
      <c r="C5" s="404"/>
      <c r="D5" s="369"/>
      <c r="E5" s="370"/>
      <c r="F5" s="370"/>
      <c r="G5" s="370"/>
      <c r="H5" s="370"/>
      <c r="I5" s="370"/>
      <c r="J5" s="370"/>
      <c r="K5" s="370"/>
      <c r="L5" s="370"/>
      <c r="M5" s="371"/>
      <c r="N5" s="369"/>
      <c r="O5" s="370"/>
      <c r="P5" s="370"/>
      <c r="Q5" s="370"/>
      <c r="R5" s="370"/>
      <c r="S5" s="370"/>
      <c r="T5" s="370"/>
      <c r="U5" s="370"/>
      <c r="V5" s="370"/>
      <c r="W5" s="371"/>
    </row>
    <row r="6" spans="1:30" ht="18" customHeight="1" x14ac:dyDescent="0.25">
      <c r="A6" s="402"/>
      <c r="B6" s="403"/>
      <c r="C6" s="404"/>
      <c r="D6" s="344" t="s">
        <v>8</v>
      </c>
      <c r="E6" s="345"/>
      <c r="F6" s="345"/>
      <c r="G6" s="345"/>
      <c r="H6" s="345"/>
      <c r="I6" s="345"/>
      <c r="J6" s="345"/>
      <c r="K6" s="346"/>
      <c r="L6" s="17" t="s">
        <v>134</v>
      </c>
      <c r="M6" s="78" t="s">
        <v>135</v>
      </c>
      <c r="N6" s="344" t="s">
        <v>174</v>
      </c>
      <c r="O6" s="345"/>
      <c r="P6" s="345"/>
      <c r="Q6" s="345"/>
      <c r="R6" s="345"/>
      <c r="S6" s="345"/>
      <c r="T6" s="345"/>
      <c r="U6" s="346"/>
      <c r="V6" s="17" t="s">
        <v>134</v>
      </c>
      <c r="W6" s="78" t="s">
        <v>135</v>
      </c>
    </row>
    <row r="7" spans="1:30" ht="20.25" customHeight="1" x14ac:dyDescent="0.25">
      <c r="A7" s="405"/>
      <c r="B7" s="406"/>
      <c r="C7" s="407"/>
      <c r="D7" s="79" t="s">
        <v>4</v>
      </c>
      <c r="E7" s="353" t="s">
        <v>29</v>
      </c>
      <c r="F7" s="353"/>
      <c r="G7" s="353"/>
      <c r="H7" s="353"/>
      <c r="I7" s="353"/>
      <c r="J7" s="353"/>
      <c r="K7" s="353"/>
      <c r="L7" s="18" t="s">
        <v>128</v>
      </c>
      <c r="M7" s="80" t="s">
        <v>123</v>
      </c>
      <c r="N7" s="79" t="s">
        <v>175</v>
      </c>
      <c r="O7" s="353" t="s">
        <v>176</v>
      </c>
      <c r="P7" s="353"/>
      <c r="Q7" s="353"/>
      <c r="R7" s="353"/>
      <c r="S7" s="353"/>
      <c r="T7" s="353"/>
      <c r="U7" s="353"/>
      <c r="V7" s="18" t="s">
        <v>178</v>
      </c>
      <c r="W7" s="80" t="s">
        <v>2</v>
      </c>
      <c r="X7" s="21"/>
      <c r="Y7" s="15"/>
      <c r="Z7" s="14"/>
      <c r="AA7" s="14"/>
      <c r="AB7" s="14"/>
      <c r="AC7" s="14"/>
      <c r="AD7" s="14"/>
    </row>
    <row r="8" spans="1:30" ht="18" customHeight="1" x14ac:dyDescent="0.25">
      <c r="A8" s="390" t="s">
        <v>131</v>
      </c>
      <c r="B8" s="391"/>
      <c r="C8" s="392"/>
      <c r="D8" s="79" t="s">
        <v>5</v>
      </c>
      <c r="E8" s="353" t="s">
        <v>30</v>
      </c>
      <c r="F8" s="353"/>
      <c r="G8" s="353"/>
      <c r="H8" s="353"/>
      <c r="I8" s="353"/>
      <c r="J8" s="353"/>
      <c r="K8" s="353"/>
      <c r="L8" s="18" t="s">
        <v>128</v>
      </c>
      <c r="M8" s="80" t="s">
        <v>123</v>
      </c>
      <c r="N8" s="79" t="s">
        <v>179</v>
      </c>
      <c r="O8" s="353" t="s">
        <v>180</v>
      </c>
      <c r="P8" s="353"/>
      <c r="Q8" s="353"/>
      <c r="R8" s="353"/>
      <c r="S8" s="353"/>
      <c r="T8" s="353"/>
      <c r="U8" s="353"/>
      <c r="V8" s="18" t="s">
        <v>178</v>
      </c>
      <c r="W8" s="80" t="s">
        <v>2</v>
      </c>
      <c r="X8" s="21"/>
      <c r="Y8" s="15"/>
      <c r="Z8" s="14"/>
      <c r="AA8" s="14"/>
      <c r="AB8" s="14"/>
      <c r="AC8" s="14"/>
      <c r="AD8" s="14"/>
    </row>
    <row r="9" spans="1:30" ht="18" customHeight="1" x14ac:dyDescent="0.25">
      <c r="A9" s="393"/>
      <c r="B9" s="394"/>
      <c r="C9" s="395"/>
      <c r="D9" s="79" t="s">
        <v>6</v>
      </c>
      <c r="E9" s="353" t="s">
        <v>31</v>
      </c>
      <c r="F9" s="353"/>
      <c r="G9" s="353"/>
      <c r="H9" s="353"/>
      <c r="I9" s="353"/>
      <c r="J9" s="353"/>
      <c r="K9" s="353"/>
      <c r="L9" s="18" t="s">
        <v>128</v>
      </c>
      <c r="M9" s="80" t="s">
        <v>123</v>
      </c>
      <c r="N9" s="79" t="s">
        <v>181</v>
      </c>
      <c r="O9" s="353" t="s">
        <v>182</v>
      </c>
      <c r="P9" s="353"/>
      <c r="Q9" s="353"/>
      <c r="R9" s="353"/>
      <c r="S9" s="353"/>
      <c r="T9" s="353"/>
      <c r="U9" s="353"/>
      <c r="V9" s="18" t="s">
        <v>178</v>
      </c>
      <c r="W9" s="80" t="s">
        <v>2</v>
      </c>
      <c r="X9" s="20"/>
      <c r="Y9" s="15"/>
      <c r="Z9" s="14"/>
      <c r="AA9" s="14"/>
      <c r="AB9" s="14"/>
      <c r="AC9" s="14"/>
      <c r="AD9" s="14"/>
    </row>
    <row r="10" spans="1:30" ht="18" customHeight="1" x14ac:dyDescent="0.25">
      <c r="A10" s="393"/>
      <c r="B10" s="394"/>
      <c r="C10" s="395"/>
      <c r="D10" s="79" t="s">
        <v>63</v>
      </c>
      <c r="E10" s="5" t="s">
        <v>137</v>
      </c>
      <c r="F10" s="13"/>
      <c r="G10" s="13"/>
      <c r="H10" s="13"/>
      <c r="I10" s="13"/>
      <c r="J10" s="13"/>
      <c r="K10" s="13"/>
      <c r="L10" s="18" t="s">
        <v>125</v>
      </c>
      <c r="M10" s="81" t="s">
        <v>2</v>
      </c>
      <c r="N10" s="79" t="s">
        <v>183</v>
      </c>
      <c r="O10" s="354" t="s">
        <v>184</v>
      </c>
      <c r="P10" s="355"/>
      <c r="Q10" s="355"/>
      <c r="R10" s="355"/>
      <c r="S10" s="355"/>
      <c r="T10" s="355"/>
      <c r="U10" s="356"/>
      <c r="V10" s="18" t="s">
        <v>178</v>
      </c>
      <c r="W10" s="81" t="s">
        <v>2</v>
      </c>
      <c r="X10" s="20"/>
      <c r="Y10" s="14"/>
      <c r="Z10" s="14"/>
      <c r="AA10" s="14"/>
      <c r="AB10" s="14"/>
      <c r="AC10" s="14"/>
      <c r="AD10" s="14"/>
    </row>
    <row r="11" spans="1:30" ht="17.25" customHeight="1" x14ac:dyDescent="0.25">
      <c r="A11" s="396"/>
      <c r="B11" s="397"/>
      <c r="C11" s="398"/>
      <c r="D11" s="79" t="s">
        <v>7</v>
      </c>
      <c r="E11" s="5" t="s">
        <v>136</v>
      </c>
      <c r="F11" s="13"/>
      <c r="G11" s="13"/>
      <c r="H11" s="13"/>
      <c r="I11" s="13"/>
      <c r="J11" s="13"/>
      <c r="K11" s="13"/>
      <c r="L11" s="18" t="s">
        <v>126</v>
      </c>
      <c r="M11" s="81" t="s">
        <v>142</v>
      </c>
      <c r="N11" s="79" t="s">
        <v>185</v>
      </c>
      <c r="O11" s="341" t="s">
        <v>192</v>
      </c>
      <c r="P11" s="342"/>
      <c r="Q11" s="342"/>
      <c r="R11" s="342"/>
      <c r="S11" s="342"/>
      <c r="T11" s="342"/>
      <c r="U11" s="343"/>
      <c r="V11" s="18" t="s">
        <v>178</v>
      </c>
      <c r="W11" s="81" t="s">
        <v>2</v>
      </c>
      <c r="X11" s="20"/>
      <c r="Y11" s="14"/>
      <c r="Z11" s="14"/>
      <c r="AA11" s="14"/>
      <c r="AB11" s="14"/>
      <c r="AC11" s="14"/>
      <c r="AD11" s="14"/>
    </row>
    <row r="12" spans="1:30" ht="17.25" customHeight="1" x14ac:dyDescent="0.25">
      <c r="A12" s="390" t="s">
        <v>132</v>
      </c>
      <c r="B12" s="391"/>
      <c r="C12" s="392"/>
      <c r="D12" s="381" t="s">
        <v>9</v>
      </c>
      <c r="E12" s="382"/>
      <c r="F12" s="382"/>
      <c r="G12" s="382"/>
      <c r="H12" s="382"/>
      <c r="I12" s="382"/>
      <c r="J12" s="382"/>
      <c r="K12" s="382"/>
      <c r="L12" s="17" t="s">
        <v>134</v>
      </c>
      <c r="M12" s="78" t="s">
        <v>135</v>
      </c>
      <c r="N12" s="86" t="s">
        <v>186</v>
      </c>
      <c r="O12" s="341" t="s">
        <v>191</v>
      </c>
      <c r="P12" s="342"/>
      <c r="Q12" s="342"/>
      <c r="R12" s="342"/>
      <c r="S12" s="342"/>
      <c r="T12" s="342"/>
      <c r="U12" s="343"/>
      <c r="V12" s="18" t="s">
        <v>177</v>
      </c>
      <c r="W12" s="87" t="s">
        <v>142</v>
      </c>
      <c r="X12" s="14"/>
      <c r="Y12" s="14"/>
      <c r="Z12" s="14"/>
      <c r="AA12" s="14"/>
      <c r="AB12" s="14"/>
      <c r="AC12" s="14"/>
      <c r="AD12" s="14"/>
    </row>
    <row r="13" spans="1:30" ht="17.25" customHeight="1" x14ac:dyDescent="0.25">
      <c r="A13" s="393"/>
      <c r="B13" s="394"/>
      <c r="C13" s="395"/>
      <c r="D13" s="79" t="s">
        <v>10</v>
      </c>
      <c r="E13" s="353" t="s">
        <v>32</v>
      </c>
      <c r="F13" s="353"/>
      <c r="G13" s="353"/>
      <c r="H13" s="353"/>
      <c r="I13" s="353"/>
      <c r="J13" s="353"/>
      <c r="K13" s="353"/>
      <c r="L13" s="18" t="s">
        <v>124</v>
      </c>
      <c r="M13" s="80" t="s">
        <v>142</v>
      </c>
      <c r="N13" s="86" t="s">
        <v>187</v>
      </c>
      <c r="O13" s="341" t="s">
        <v>189</v>
      </c>
      <c r="P13" s="342"/>
      <c r="Q13" s="342"/>
      <c r="R13" s="342"/>
      <c r="S13" s="342"/>
      <c r="T13" s="342"/>
      <c r="U13" s="343"/>
      <c r="V13" s="18" t="s">
        <v>178</v>
      </c>
      <c r="W13" s="81" t="s">
        <v>2</v>
      </c>
      <c r="X13" s="20"/>
      <c r="Y13" s="14"/>
      <c r="Z13" s="14"/>
      <c r="AA13" s="14"/>
      <c r="AB13" s="14"/>
      <c r="AC13" s="14"/>
      <c r="AD13" s="14"/>
    </row>
    <row r="14" spans="1:30" ht="18.75" customHeight="1" x14ac:dyDescent="0.25">
      <c r="A14" s="393"/>
      <c r="B14" s="394"/>
      <c r="C14" s="395"/>
      <c r="D14" s="79" t="s">
        <v>11</v>
      </c>
      <c r="E14" s="353" t="s">
        <v>33</v>
      </c>
      <c r="F14" s="353"/>
      <c r="G14" s="353"/>
      <c r="H14" s="353"/>
      <c r="I14" s="353"/>
      <c r="J14" s="353"/>
      <c r="K14" s="353"/>
      <c r="L14" s="18" t="s">
        <v>124</v>
      </c>
      <c r="M14" s="80" t="s">
        <v>123</v>
      </c>
      <c r="N14" s="86" t="s">
        <v>188</v>
      </c>
      <c r="O14" s="341" t="s">
        <v>190</v>
      </c>
      <c r="P14" s="342"/>
      <c r="Q14" s="342"/>
      <c r="R14" s="342"/>
      <c r="S14" s="342"/>
      <c r="T14" s="342"/>
      <c r="U14" s="343"/>
      <c r="V14" s="18" t="s">
        <v>177</v>
      </c>
      <c r="W14" s="80" t="s">
        <v>142</v>
      </c>
      <c r="X14" s="20"/>
      <c r="Y14" s="15"/>
      <c r="Z14" s="14"/>
      <c r="AA14" s="14"/>
      <c r="AB14" s="14"/>
      <c r="AC14" s="14"/>
      <c r="AD14" s="14"/>
    </row>
    <row r="15" spans="1:30" ht="15.75" customHeight="1" x14ac:dyDescent="0.25">
      <c r="A15" s="387" t="s">
        <v>133</v>
      </c>
      <c r="B15" s="388"/>
      <c r="C15" s="389"/>
      <c r="D15" s="79" t="s">
        <v>12</v>
      </c>
      <c r="E15" s="353" t="s">
        <v>34</v>
      </c>
      <c r="F15" s="353"/>
      <c r="G15" s="353"/>
      <c r="H15" s="353"/>
      <c r="I15" s="353"/>
      <c r="J15" s="353"/>
      <c r="K15" s="353"/>
      <c r="L15" s="18" t="s">
        <v>124</v>
      </c>
      <c r="M15" s="82" t="s">
        <v>142</v>
      </c>
      <c r="N15" s="347" t="s">
        <v>193</v>
      </c>
      <c r="O15" s="348"/>
      <c r="P15" s="348"/>
      <c r="Q15" s="348"/>
      <c r="R15" s="348"/>
      <c r="S15" s="348"/>
      <c r="T15" s="348"/>
      <c r="U15" s="348"/>
      <c r="V15" s="348"/>
      <c r="W15" s="349"/>
      <c r="X15" s="20"/>
      <c r="Y15" s="15"/>
      <c r="Z15" s="14"/>
      <c r="AA15" s="14"/>
      <c r="AB15" s="14"/>
      <c r="AC15" s="14"/>
      <c r="AD15" s="14"/>
    </row>
    <row r="16" spans="1:30" x14ac:dyDescent="0.25">
      <c r="A16" s="26"/>
      <c r="B16" s="1"/>
      <c r="C16" s="27"/>
      <c r="D16" s="79" t="s">
        <v>64</v>
      </c>
      <c r="E16" s="353" t="s">
        <v>138</v>
      </c>
      <c r="F16" s="353"/>
      <c r="G16" s="353"/>
      <c r="H16" s="353"/>
      <c r="I16" s="353"/>
      <c r="J16" s="353"/>
      <c r="K16" s="353"/>
      <c r="L16" s="18" t="s">
        <v>125</v>
      </c>
      <c r="M16" s="80" t="s">
        <v>2</v>
      </c>
      <c r="N16" s="350"/>
      <c r="O16" s="351"/>
      <c r="P16" s="351"/>
      <c r="Q16" s="351"/>
      <c r="R16" s="351"/>
      <c r="S16" s="351"/>
      <c r="T16" s="351"/>
      <c r="U16" s="351"/>
      <c r="V16" s="351"/>
      <c r="W16" s="352"/>
      <c r="X16" s="20"/>
      <c r="Y16" s="15"/>
      <c r="Z16" s="14"/>
      <c r="AA16" s="14"/>
      <c r="AB16" s="14"/>
      <c r="AC16" s="14"/>
      <c r="AD16" s="14"/>
    </row>
    <row r="17" spans="1:30" x14ac:dyDescent="0.25">
      <c r="A17" s="26"/>
      <c r="B17" s="1"/>
      <c r="C17" s="27"/>
      <c r="D17" s="381" t="s">
        <v>13</v>
      </c>
      <c r="E17" s="382"/>
      <c r="F17" s="382"/>
      <c r="G17" s="382"/>
      <c r="H17" s="382"/>
      <c r="I17" s="382"/>
      <c r="J17" s="382"/>
      <c r="K17" s="382"/>
      <c r="L17" s="17" t="s">
        <v>134</v>
      </c>
      <c r="M17" s="78" t="s">
        <v>135</v>
      </c>
      <c r="N17" s="350"/>
      <c r="O17" s="351"/>
      <c r="P17" s="351"/>
      <c r="Q17" s="351"/>
      <c r="R17" s="351"/>
      <c r="S17" s="351"/>
      <c r="T17" s="351"/>
      <c r="U17" s="351"/>
      <c r="V17" s="351"/>
      <c r="W17" s="352"/>
      <c r="X17" s="14"/>
      <c r="Y17" s="14"/>
      <c r="Z17" s="14"/>
      <c r="AA17" s="14"/>
      <c r="AB17" s="14"/>
      <c r="AC17" s="14"/>
      <c r="AD17" s="14"/>
    </row>
    <row r="18" spans="1:30" x14ac:dyDescent="0.25">
      <c r="A18" s="26"/>
      <c r="B18" s="1"/>
      <c r="C18" s="27"/>
      <c r="D18" s="79" t="s">
        <v>65</v>
      </c>
      <c r="E18" s="383" t="s">
        <v>35</v>
      </c>
      <c r="F18" s="383"/>
      <c r="G18" s="383"/>
      <c r="H18" s="383"/>
      <c r="I18" s="383"/>
      <c r="J18" s="383"/>
      <c r="K18" s="383"/>
      <c r="L18" s="18" t="s">
        <v>125</v>
      </c>
      <c r="M18" s="80" t="s">
        <v>2</v>
      </c>
      <c r="N18" s="344" t="s">
        <v>194</v>
      </c>
      <c r="O18" s="345"/>
      <c r="P18" s="345"/>
      <c r="Q18" s="345"/>
      <c r="R18" s="345"/>
      <c r="S18" s="345"/>
      <c r="T18" s="345"/>
      <c r="U18" s="346"/>
      <c r="V18" s="17" t="s">
        <v>134</v>
      </c>
      <c r="W18" s="78" t="s">
        <v>135</v>
      </c>
      <c r="X18" s="14"/>
      <c r="Y18" s="14"/>
      <c r="Z18" s="14"/>
      <c r="AA18" s="14"/>
      <c r="AB18" s="14"/>
      <c r="AC18" s="14"/>
      <c r="AD18" s="14"/>
    </row>
    <row r="19" spans="1:30" x14ac:dyDescent="0.25">
      <c r="A19" s="26"/>
      <c r="B19" s="1"/>
      <c r="C19" s="27"/>
      <c r="D19" s="79" t="s">
        <v>14</v>
      </c>
      <c r="E19" s="383" t="s">
        <v>36</v>
      </c>
      <c r="F19" s="383"/>
      <c r="G19" s="383"/>
      <c r="H19" s="383"/>
      <c r="I19" s="383"/>
      <c r="J19" s="383"/>
      <c r="K19" s="383"/>
      <c r="L19" s="18" t="s">
        <v>124</v>
      </c>
      <c r="M19" s="82" t="s">
        <v>142</v>
      </c>
      <c r="N19" s="86" t="s">
        <v>195</v>
      </c>
      <c r="O19" s="341" t="s">
        <v>196</v>
      </c>
      <c r="P19" s="342"/>
      <c r="Q19" s="342"/>
      <c r="R19" s="342"/>
      <c r="S19" s="342"/>
      <c r="T19" s="342"/>
      <c r="U19" s="343"/>
      <c r="V19" s="18" t="s">
        <v>203</v>
      </c>
      <c r="W19" s="80" t="s">
        <v>2</v>
      </c>
      <c r="X19" s="14"/>
      <c r="Y19" s="14"/>
      <c r="Z19" s="14"/>
      <c r="AA19" s="14"/>
      <c r="AB19" s="14"/>
      <c r="AC19" s="14"/>
      <c r="AD19" s="14"/>
    </row>
    <row r="20" spans="1:30" x14ac:dyDescent="0.25">
      <c r="A20" s="26"/>
      <c r="B20" s="1"/>
      <c r="C20" s="27"/>
      <c r="D20" s="79" t="s">
        <v>66</v>
      </c>
      <c r="E20" s="383" t="s">
        <v>37</v>
      </c>
      <c r="F20" s="383"/>
      <c r="G20" s="383"/>
      <c r="H20" s="383"/>
      <c r="I20" s="383"/>
      <c r="J20" s="383"/>
      <c r="K20" s="383"/>
      <c r="L20" s="18" t="s">
        <v>127</v>
      </c>
      <c r="M20" s="80" t="s">
        <v>2</v>
      </c>
      <c r="N20" s="86" t="s">
        <v>197</v>
      </c>
      <c r="O20" s="341" t="s">
        <v>200</v>
      </c>
      <c r="P20" s="342"/>
      <c r="Q20" s="342"/>
      <c r="R20" s="342"/>
      <c r="S20" s="342"/>
      <c r="T20" s="342"/>
      <c r="U20" s="343"/>
      <c r="V20" s="18" t="s">
        <v>203</v>
      </c>
      <c r="W20" s="80" t="s">
        <v>2</v>
      </c>
      <c r="X20" s="14"/>
      <c r="Y20" s="14"/>
      <c r="Z20" s="14"/>
      <c r="AA20" s="14"/>
      <c r="AB20" s="14"/>
      <c r="AC20" s="14"/>
      <c r="AD20" s="14"/>
    </row>
    <row r="21" spans="1:30" x14ac:dyDescent="0.25">
      <c r="A21" s="26"/>
      <c r="B21" s="1"/>
      <c r="C21" s="27"/>
      <c r="D21" s="381" t="s">
        <v>15</v>
      </c>
      <c r="E21" s="382"/>
      <c r="F21" s="382"/>
      <c r="G21" s="382"/>
      <c r="H21" s="382"/>
      <c r="I21" s="382"/>
      <c r="J21" s="382"/>
      <c r="K21" s="382"/>
      <c r="L21" s="17" t="s">
        <v>134</v>
      </c>
      <c r="M21" s="78" t="s">
        <v>135</v>
      </c>
      <c r="N21" s="86" t="s">
        <v>198</v>
      </c>
      <c r="O21" s="341" t="s">
        <v>201</v>
      </c>
      <c r="P21" s="342"/>
      <c r="Q21" s="342"/>
      <c r="R21" s="342"/>
      <c r="S21" s="342"/>
      <c r="T21" s="342"/>
      <c r="U21" s="343"/>
      <c r="V21" s="18" t="s">
        <v>178</v>
      </c>
      <c r="W21" s="80" t="s">
        <v>2</v>
      </c>
      <c r="X21" s="14"/>
      <c r="Y21" s="14"/>
      <c r="Z21" s="14"/>
      <c r="AA21" s="14"/>
      <c r="AB21" s="14"/>
      <c r="AC21" s="14"/>
      <c r="AD21" s="14"/>
    </row>
    <row r="22" spans="1:30" x14ac:dyDescent="0.25">
      <c r="A22" s="26"/>
      <c r="B22" s="1"/>
      <c r="C22" s="27"/>
      <c r="D22" s="79" t="s">
        <v>16</v>
      </c>
      <c r="E22" s="383" t="s">
        <v>38</v>
      </c>
      <c r="F22" s="383"/>
      <c r="G22" s="383"/>
      <c r="H22" s="383"/>
      <c r="I22" s="383"/>
      <c r="J22" s="383"/>
      <c r="K22" s="383"/>
      <c r="L22" s="18" t="s">
        <v>128</v>
      </c>
      <c r="M22" s="80" t="s">
        <v>142</v>
      </c>
      <c r="N22" s="86" t="s">
        <v>199</v>
      </c>
      <c r="O22" s="341" t="s">
        <v>202</v>
      </c>
      <c r="P22" s="342"/>
      <c r="Q22" s="342"/>
      <c r="R22" s="342"/>
      <c r="S22" s="342"/>
      <c r="T22" s="342"/>
      <c r="U22" s="343"/>
      <c r="V22" s="18" t="s">
        <v>177</v>
      </c>
      <c r="W22" s="80" t="s">
        <v>142</v>
      </c>
      <c r="X22" s="14"/>
      <c r="Y22" s="14"/>
      <c r="Z22" s="14"/>
      <c r="AA22" s="14"/>
      <c r="AB22" s="14"/>
      <c r="AC22" s="14"/>
      <c r="AD22" s="14"/>
    </row>
    <row r="23" spans="1:30" x14ac:dyDescent="0.25">
      <c r="A23" s="26"/>
      <c r="B23" s="1"/>
      <c r="C23" s="27"/>
      <c r="D23" s="79" t="s">
        <v>17</v>
      </c>
      <c r="E23" s="383" t="s">
        <v>39</v>
      </c>
      <c r="F23" s="383"/>
      <c r="G23" s="383"/>
      <c r="H23" s="383"/>
      <c r="I23" s="383"/>
      <c r="J23" s="383"/>
      <c r="K23" s="383"/>
      <c r="L23" s="18" t="s">
        <v>128</v>
      </c>
      <c r="M23" s="80" t="s">
        <v>142</v>
      </c>
      <c r="N23" s="26"/>
      <c r="O23" s="2"/>
      <c r="P23" s="2"/>
      <c r="Q23" s="2"/>
      <c r="R23" s="2"/>
      <c r="S23" s="2"/>
      <c r="T23" s="22"/>
      <c r="U23" s="22"/>
      <c r="V23" s="2"/>
      <c r="W23" s="88"/>
      <c r="X23" s="14"/>
      <c r="Y23" s="14"/>
      <c r="Z23" s="14"/>
      <c r="AA23" s="14"/>
      <c r="AB23" s="14"/>
      <c r="AC23" s="14"/>
      <c r="AD23" s="14"/>
    </row>
    <row r="24" spans="1:30" x14ac:dyDescent="0.25">
      <c r="A24" s="26"/>
      <c r="B24" s="1"/>
      <c r="C24" s="27"/>
      <c r="D24" s="79" t="s">
        <v>18</v>
      </c>
      <c r="E24" s="383" t="s">
        <v>40</v>
      </c>
      <c r="F24" s="383"/>
      <c r="G24" s="383"/>
      <c r="H24" s="383"/>
      <c r="I24" s="383"/>
      <c r="J24" s="383"/>
      <c r="K24" s="383"/>
      <c r="L24" s="18" t="s">
        <v>128</v>
      </c>
      <c r="M24" s="80" t="s">
        <v>2</v>
      </c>
      <c r="N24" s="26"/>
      <c r="O24" s="2"/>
      <c r="P24" s="2"/>
      <c r="Q24" s="2"/>
      <c r="R24" s="2"/>
      <c r="S24" s="2"/>
      <c r="T24" s="22"/>
      <c r="U24" s="22"/>
      <c r="V24" s="2"/>
      <c r="W24" s="88"/>
      <c r="X24" s="14"/>
      <c r="Y24" s="14"/>
      <c r="Z24" s="14"/>
      <c r="AA24" s="14"/>
      <c r="AB24" s="14"/>
      <c r="AC24" s="14"/>
      <c r="AD24" s="14"/>
    </row>
    <row r="25" spans="1:30" x14ac:dyDescent="0.25">
      <c r="A25" s="26"/>
      <c r="B25" s="1"/>
      <c r="C25" s="27"/>
      <c r="D25" s="79" t="s">
        <v>19</v>
      </c>
      <c r="E25" s="383" t="s">
        <v>41</v>
      </c>
      <c r="F25" s="383"/>
      <c r="G25" s="383"/>
      <c r="H25" s="383"/>
      <c r="I25" s="383"/>
      <c r="J25" s="383"/>
      <c r="K25" s="383"/>
      <c r="L25" s="18" t="s">
        <v>128</v>
      </c>
      <c r="M25" s="80" t="s">
        <v>2</v>
      </c>
      <c r="N25" s="26"/>
      <c r="O25" s="340" t="s">
        <v>272</v>
      </c>
      <c r="P25" s="340"/>
      <c r="Q25" s="340"/>
      <c r="R25" s="340"/>
      <c r="S25" s="340"/>
      <c r="T25" s="340"/>
      <c r="U25" s="340"/>
      <c r="V25" s="340"/>
      <c r="W25" s="88"/>
      <c r="X25" s="14"/>
      <c r="Y25" s="14"/>
      <c r="Z25" s="14"/>
      <c r="AA25" s="14"/>
      <c r="AB25" s="14"/>
      <c r="AC25" s="14"/>
      <c r="AD25" s="14"/>
    </row>
    <row r="26" spans="1:30" x14ac:dyDescent="0.25">
      <c r="A26" s="26"/>
      <c r="B26" s="1"/>
      <c r="C26" s="27"/>
      <c r="D26" s="79" t="s">
        <v>20</v>
      </c>
      <c r="E26" s="383" t="s">
        <v>42</v>
      </c>
      <c r="F26" s="383"/>
      <c r="G26" s="383"/>
      <c r="H26" s="383"/>
      <c r="I26" s="383"/>
      <c r="J26" s="383"/>
      <c r="K26" s="383"/>
      <c r="L26" s="18" t="s">
        <v>128</v>
      </c>
      <c r="M26" s="80" t="s">
        <v>142</v>
      </c>
      <c r="N26" s="26"/>
      <c r="O26" s="340"/>
      <c r="P26" s="340"/>
      <c r="Q26" s="340"/>
      <c r="R26" s="340"/>
      <c r="S26" s="340"/>
      <c r="T26" s="340"/>
      <c r="U26" s="340"/>
      <c r="V26" s="340"/>
      <c r="W26" s="88"/>
      <c r="X26" s="14"/>
      <c r="Y26" s="14"/>
      <c r="Z26" s="14"/>
      <c r="AA26" s="14"/>
      <c r="AB26" s="14"/>
      <c r="AC26" s="14"/>
      <c r="AD26" s="14"/>
    </row>
    <row r="27" spans="1:30" x14ac:dyDescent="0.25">
      <c r="A27" s="26"/>
      <c r="B27" s="1"/>
      <c r="C27" s="27"/>
      <c r="D27" s="79" t="s">
        <v>21</v>
      </c>
      <c r="E27" s="383" t="s">
        <v>43</v>
      </c>
      <c r="F27" s="383"/>
      <c r="G27" s="383"/>
      <c r="H27" s="383"/>
      <c r="I27" s="383"/>
      <c r="J27" s="383"/>
      <c r="K27" s="383"/>
      <c r="L27" s="18" t="s">
        <v>128</v>
      </c>
      <c r="M27" s="80" t="s">
        <v>2</v>
      </c>
      <c r="N27" s="26"/>
      <c r="O27" s="340"/>
      <c r="P27" s="340"/>
      <c r="Q27" s="340"/>
      <c r="R27" s="340"/>
      <c r="S27" s="340"/>
      <c r="T27" s="340"/>
      <c r="U27" s="340"/>
      <c r="V27" s="340"/>
      <c r="W27" s="88"/>
      <c r="X27" s="14"/>
      <c r="Y27" s="14"/>
      <c r="Z27" s="14"/>
      <c r="AA27" s="14"/>
      <c r="AB27" s="14"/>
      <c r="AC27" s="14"/>
      <c r="AD27" s="14"/>
    </row>
    <row r="28" spans="1:30" x14ac:dyDescent="0.25">
      <c r="A28" s="26"/>
      <c r="B28" s="1"/>
      <c r="C28" s="27"/>
      <c r="D28" s="79" t="s">
        <v>22</v>
      </c>
      <c r="E28" s="383" t="s">
        <v>44</v>
      </c>
      <c r="F28" s="383"/>
      <c r="G28" s="383"/>
      <c r="H28" s="383"/>
      <c r="I28" s="383"/>
      <c r="J28" s="383"/>
      <c r="K28" s="383"/>
      <c r="L28" s="18" t="s">
        <v>128</v>
      </c>
      <c r="M28" s="82" t="s">
        <v>142</v>
      </c>
      <c r="N28" s="26"/>
      <c r="O28" s="340"/>
      <c r="P28" s="340"/>
      <c r="Q28" s="340"/>
      <c r="R28" s="340"/>
      <c r="S28" s="340"/>
      <c r="T28" s="340"/>
      <c r="U28" s="340"/>
      <c r="V28" s="340"/>
      <c r="W28" s="88"/>
      <c r="X28" s="14"/>
      <c r="Y28" s="14"/>
      <c r="Z28" s="14"/>
      <c r="AA28" s="14"/>
      <c r="AB28" s="14"/>
      <c r="AC28" s="14"/>
      <c r="AD28" s="14"/>
    </row>
    <row r="29" spans="1:30" x14ac:dyDescent="0.25">
      <c r="A29" s="26"/>
      <c r="B29" s="1"/>
      <c r="C29" s="27"/>
      <c r="D29" s="79" t="s">
        <v>67</v>
      </c>
      <c r="E29" s="383" t="s">
        <v>45</v>
      </c>
      <c r="F29" s="383"/>
      <c r="G29" s="383"/>
      <c r="H29" s="383"/>
      <c r="I29" s="383"/>
      <c r="J29" s="383"/>
      <c r="K29" s="383"/>
      <c r="L29" s="18" t="s">
        <v>129</v>
      </c>
      <c r="M29" s="80" t="s">
        <v>2</v>
      </c>
      <c r="N29" s="26"/>
      <c r="O29" s="340"/>
      <c r="P29" s="340"/>
      <c r="Q29" s="340"/>
      <c r="R29" s="340"/>
      <c r="S29" s="340"/>
      <c r="T29" s="340"/>
      <c r="U29" s="340"/>
      <c r="V29" s="340"/>
      <c r="W29" s="88"/>
      <c r="X29" s="14"/>
      <c r="Y29" s="14"/>
      <c r="Z29" s="14"/>
      <c r="AA29" s="14"/>
      <c r="AB29" s="14"/>
      <c r="AC29" s="14"/>
      <c r="AD29" s="14"/>
    </row>
    <row r="30" spans="1:30" x14ac:dyDescent="0.25">
      <c r="A30" s="26"/>
      <c r="B30" s="1"/>
      <c r="C30" s="27"/>
      <c r="D30" s="79" t="s">
        <v>68</v>
      </c>
      <c r="E30" s="383" t="s">
        <v>46</v>
      </c>
      <c r="F30" s="383"/>
      <c r="G30" s="383"/>
      <c r="H30" s="383"/>
      <c r="I30" s="383"/>
      <c r="J30" s="383"/>
      <c r="K30" s="383"/>
      <c r="L30" s="18" t="s">
        <v>125</v>
      </c>
      <c r="M30" s="80" t="s">
        <v>2</v>
      </c>
      <c r="N30" s="26"/>
      <c r="O30" s="340"/>
      <c r="P30" s="340"/>
      <c r="Q30" s="340"/>
      <c r="R30" s="340"/>
      <c r="S30" s="340"/>
      <c r="T30" s="340"/>
      <c r="U30" s="340"/>
      <c r="V30" s="340"/>
      <c r="W30" s="88"/>
      <c r="X30" s="14"/>
      <c r="Y30" s="14"/>
      <c r="Z30" s="14"/>
      <c r="AA30" s="14"/>
      <c r="AB30" s="14"/>
      <c r="AC30" s="14"/>
      <c r="AD30" s="14"/>
    </row>
    <row r="31" spans="1:30" x14ac:dyDescent="0.25">
      <c r="A31" s="26"/>
      <c r="B31" s="1"/>
      <c r="C31" s="27"/>
      <c r="D31" s="79" t="s">
        <v>23</v>
      </c>
      <c r="E31" s="383" t="s">
        <v>47</v>
      </c>
      <c r="F31" s="383"/>
      <c r="G31" s="383"/>
      <c r="H31" s="383"/>
      <c r="I31" s="383"/>
      <c r="J31" s="383"/>
      <c r="K31" s="383"/>
      <c r="L31" s="18" t="s">
        <v>124</v>
      </c>
      <c r="M31" s="80" t="s">
        <v>142</v>
      </c>
      <c r="N31" s="26"/>
      <c r="O31" s="89"/>
      <c r="P31" s="2"/>
      <c r="Q31" s="2"/>
      <c r="R31" s="2"/>
      <c r="S31" s="2"/>
      <c r="T31" s="22"/>
      <c r="U31" s="22"/>
      <c r="V31" s="2"/>
      <c r="W31" s="88"/>
      <c r="X31" s="14"/>
      <c r="Y31" s="14"/>
      <c r="Z31" s="14"/>
      <c r="AA31" s="14"/>
      <c r="AB31" s="14"/>
      <c r="AC31" s="14"/>
      <c r="AD31" s="14"/>
    </row>
    <row r="32" spans="1:30" x14ac:dyDescent="0.25">
      <c r="A32" s="26"/>
      <c r="B32" s="1"/>
      <c r="C32" s="27"/>
      <c r="D32" s="384" t="s">
        <v>139</v>
      </c>
      <c r="E32" s="385"/>
      <c r="F32" s="385"/>
      <c r="G32" s="385"/>
      <c r="H32" s="385"/>
      <c r="I32" s="385"/>
      <c r="J32" s="385"/>
      <c r="K32" s="385"/>
      <c r="L32" s="17" t="s">
        <v>134</v>
      </c>
      <c r="M32" s="78" t="s">
        <v>135</v>
      </c>
      <c r="N32" s="26"/>
      <c r="O32" s="90"/>
      <c r="P32" s="90"/>
      <c r="Q32" s="90"/>
      <c r="R32" s="90"/>
      <c r="S32" s="90"/>
      <c r="T32" s="90"/>
      <c r="U32" s="2"/>
      <c r="V32" s="2"/>
      <c r="W32" s="88"/>
      <c r="X32" s="14"/>
      <c r="Y32" s="14"/>
      <c r="Z32" s="14"/>
      <c r="AA32" s="14"/>
      <c r="AB32" s="14"/>
      <c r="AC32" s="14"/>
      <c r="AD32" s="14"/>
    </row>
    <row r="33" spans="1:30" x14ac:dyDescent="0.25">
      <c r="A33" s="26"/>
      <c r="B33" s="1"/>
      <c r="C33" s="27"/>
      <c r="D33" s="108" t="s">
        <v>52</v>
      </c>
      <c r="E33" s="386" t="s">
        <v>57</v>
      </c>
      <c r="F33" s="386"/>
      <c r="G33" s="386"/>
      <c r="H33" s="386"/>
      <c r="I33" s="386"/>
      <c r="J33" s="386"/>
      <c r="K33" s="386"/>
      <c r="L33" s="18" t="s">
        <v>125</v>
      </c>
      <c r="M33" s="80" t="s">
        <v>2</v>
      </c>
      <c r="N33" s="26"/>
      <c r="O33" s="2"/>
      <c r="P33" s="2"/>
      <c r="Q33" s="2"/>
      <c r="R33" s="2"/>
      <c r="S33" s="2"/>
      <c r="T33" s="22"/>
      <c r="U33" s="22"/>
      <c r="V33" s="2"/>
      <c r="W33" s="88"/>
      <c r="X33" s="14"/>
      <c r="Y33" s="14"/>
      <c r="Z33" s="14"/>
      <c r="AA33" s="14"/>
      <c r="AB33" s="14"/>
      <c r="AC33" s="14"/>
      <c r="AD33" s="14"/>
    </row>
    <row r="34" spans="1:30" x14ac:dyDescent="0.25">
      <c r="A34" s="26"/>
      <c r="B34" s="1"/>
      <c r="C34" s="27"/>
      <c r="D34" s="108" t="s">
        <v>51</v>
      </c>
      <c r="E34" s="386" t="s">
        <v>58</v>
      </c>
      <c r="F34" s="386"/>
      <c r="G34" s="386"/>
      <c r="H34" s="386"/>
      <c r="I34" s="386"/>
      <c r="J34" s="386"/>
      <c r="K34" s="386"/>
      <c r="L34" s="18" t="s">
        <v>124</v>
      </c>
      <c r="M34" s="82" t="s">
        <v>142</v>
      </c>
      <c r="N34" s="26"/>
      <c r="O34" s="89"/>
      <c r="P34" s="2"/>
      <c r="Q34" s="2"/>
      <c r="R34" s="2"/>
      <c r="S34" s="2"/>
      <c r="T34" s="22"/>
      <c r="U34" s="22"/>
      <c r="V34" s="2"/>
      <c r="W34" s="88"/>
      <c r="X34" s="14"/>
      <c r="Y34" s="14"/>
      <c r="Z34" s="14"/>
      <c r="AA34" s="14"/>
      <c r="AB34" s="14"/>
      <c r="AC34" s="14"/>
      <c r="AD34" s="14"/>
    </row>
    <row r="35" spans="1:30" x14ac:dyDescent="0.25">
      <c r="A35" s="26"/>
      <c r="B35" s="1"/>
      <c r="C35" s="27"/>
      <c r="D35" s="108" t="s">
        <v>53</v>
      </c>
      <c r="E35" s="386" t="s">
        <v>59</v>
      </c>
      <c r="F35" s="386"/>
      <c r="G35" s="386"/>
      <c r="H35" s="386"/>
      <c r="I35" s="386"/>
      <c r="J35" s="386"/>
      <c r="K35" s="386"/>
      <c r="L35" s="18" t="s">
        <v>125</v>
      </c>
      <c r="M35" s="80" t="s">
        <v>2</v>
      </c>
      <c r="N35" s="26"/>
      <c r="O35" s="2"/>
      <c r="P35" s="2"/>
      <c r="Q35" s="2"/>
      <c r="R35" s="2"/>
      <c r="S35" s="2"/>
      <c r="T35" s="22"/>
      <c r="U35" s="22"/>
      <c r="V35" s="2"/>
      <c r="W35" s="88"/>
      <c r="X35" s="14"/>
      <c r="Y35" s="14"/>
      <c r="Z35" s="14"/>
      <c r="AA35" s="14"/>
      <c r="AB35" s="14"/>
      <c r="AC35" s="14"/>
      <c r="AD35" s="14"/>
    </row>
    <row r="36" spans="1:30" x14ac:dyDescent="0.25">
      <c r="A36" s="26"/>
      <c r="B36" s="1"/>
      <c r="C36" s="27"/>
      <c r="D36" s="108" t="s">
        <v>54</v>
      </c>
      <c r="E36" s="386" t="s">
        <v>60</v>
      </c>
      <c r="F36" s="386"/>
      <c r="G36" s="386"/>
      <c r="H36" s="386"/>
      <c r="I36" s="386"/>
      <c r="J36" s="386"/>
      <c r="K36" s="386"/>
      <c r="L36" s="18" t="s">
        <v>124</v>
      </c>
      <c r="M36" s="80" t="s">
        <v>142</v>
      </c>
      <c r="N36" s="26"/>
      <c r="O36" s="89"/>
      <c r="P36" s="2"/>
      <c r="Q36" s="2"/>
      <c r="R36" s="2"/>
      <c r="S36" s="2"/>
      <c r="T36" s="22"/>
      <c r="U36" s="22"/>
      <c r="V36" s="2"/>
      <c r="W36" s="88"/>
      <c r="X36" s="14"/>
      <c r="Y36" s="14"/>
      <c r="Z36" s="14"/>
      <c r="AA36" s="14"/>
      <c r="AB36" s="14"/>
      <c r="AC36" s="14"/>
      <c r="AD36" s="14"/>
    </row>
    <row r="37" spans="1:30" x14ac:dyDescent="0.25">
      <c r="A37" s="26"/>
      <c r="B37" s="1"/>
      <c r="C37" s="27"/>
      <c r="D37" s="108" t="s">
        <v>55</v>
      </c>
      <c r="E37" s="386" t="s">
        <v>61</v>
      </c>
      <c r="F37" s="386"/>
      <c r="G37" s="386"/>
      <c r="H37" s="386"/>
      <c r="I37" s="386"/>
      <c r="J37" s="386"/>
      <c r="K37" s="386"/>
      <c r="L37" s="18" t="s">
        <v>125</v>
      </c>
      <c r="M37" s="80" t="s">
        <v>2</v>
      </c>
      <c r="N37" s="26"/>
      <c r="O37" s="2"/>
      <c r="P37" s="2"/>
      <c r="Q37" s="2"/>
      <c r="R37" s="2"/>
      <c r="S37" s="2"/>
      <c r="T37" s="22"/>
      <c r="U37" s="22"/>
      <c r="V37" s="2"/>
      <c r="W37" s="88"/>
      <c r="X37" s="14"/>
      <c r="Y37" s="14"/>
      <c r="Z37" s="14"/>
      <c r="AA37" s="14"/>
      <c r="AB37" s="14"/>
      <c r="AC37" s="14"/>
      <c r="AD37" s="14"/>
    </row>
    <row r="38" spans="1:30" x14ac:dyDescent="0.25">
      <c r="A38" s="26"/>
      <c r="B38" s="1"/>
      <c r="C38" s="27"/>
      <c r="D38" s="108" t="s">
        <v>56</v>
      </c>
      <c r="E38" s="386" t="s">
        <v>62</v>
      </c>
      <c r="F38" s="386"/>
      <c r="G38" s="386"/>
      <c r="H38" s="386"/>
      <c r="I38" s="386"/>
      <c r="J38" s="386"/>
      <c r="K38" s="386"/>
      <c r="L38" s="18" t="s">
        <v>124</v>
      </c>
      <c r="M38" s="82" t="s">
        <v>123</v>
      </c>
      <c r="N38" s="26"/>
      <c r="O38" s="2"/>
      <c r="P38" s="2"/>
      <c r="Q38" s="2"/>
      <c r="R38" s="2"/>
      <c r="S38" s="2"/>
      <c r="T38" s="22"/>
      <c r="U38" s="22"/>
      <c r="V38" s="2"/>
      <c r="W38" s="88"/>
      <c r="X38" s="14"/>
      <c r="Y38" s="14"/>
      <c r="Z38" s="14"/>
      <c r="AA38" s="14"/>
      <c r="AB38" s="14"/>
      <c r="AC38" s="14"/>
      <c r="AD38" s="14"/>
    </row>
    <row r="39" spans="1:30" x14ac:dyDescent="0.25">
      <c r="A39" s="26"/>
      <c r="B39" s="1"/>
      <c r="C39" s="27"/>
      <c r="D39" s="381" t="s">
        <v>140</v>
      </c>
      <c r="E39" s="382"/>
      <c r="F39" s="382"/>
      <c r="G39" s="382"/>
      <c r="H39" s="382"/>
      <c r="I39" s="382"/>
      <c r="J39" s="382"/>
      <c r="K39" s="382"/>
      <c r="L39" s="17" t="s">
        <v>134</v>
      </c>
      <c r="M39" s="78" t="s">
        <v>135</v>
      </c>
      <c r="N39" s="26"/>
      <c r="O39" s="90"/>
      <c r="P39" s="90"/>
      <c r="Q39" s="90"/>
      <c r="R39" s="90"/>
      <c r="S39" s="90"/>
      <c r="T39" s="90"/>
      <c r="U39" s="2"/>
      <c r="V39" s="2"/>
      <c r="W39" s="88"/>
      <c r="X39" s="14"/>
      <c r="Y39" s="14"/>
      <c r="Z39" s="14"/>
      <c r="AA39" s="14"/>
      <c r="AB39" s="14"/>
      <c r="AC39" s="14"/>
      <c r="AD39" s="14"/>
    </row>
    <row r="40" spans="1:30" x14ac:dyDescent="0.25">
      <c r="A40" s="26"/>
      <c r="B40" s="1"/>
      <c r="C40" s="27"/>
      <c r="D40" s="79" t="s">
        <v>69</v>
      </c>
      <c r="E40" s="383" t="s">
        <v>48</v>
      </c>
      <c r="F40" s="383"/>
      <c r="G40" s="383"/>
      <c r="H40" s="383"/>
      <c r="I40" s="383"/>
      <c r="J40" s="383"/>
      <c r="K40" s="383"/>
      <c r="L40" s="18" t="s">
        <v>125</v>
      </c>
      <c r="M40" s="80" t="s">
        <v>2</v>
      </c>
      <c r="N40" s="26"/>
      <c r="O40" s="2"/>
      <c r="P40" s="2"/>
      <c r="Q40" s="2"/>
      <c r="R40" s="2"/>
      <c r="S40" s="2"/>
      <c r="T40" s="22"/>
      <c r="U40" s="22"/>
      <c r="V40" s="90"/>
      <c r="W40" s="88"/>
      <c r="X40" s="14"/>
      <c r="Y40" s="14"/>
      <c r="Z40" s="14"/>
      <c r="AA40" s="14"/>
      <c r="AB40" s="14"/>
      <c r="AC40" s="14"/>
      <c r="AD40" s="14"/>
    </row>
    <row r="41" spans="1:30" x14ac:dyDescent="0.25">
      <c r="A41" s="26"/>
      <c r="B41" s="1"/>
      <c r="C41" s="27"/>
      <c r="D41" s="79" t="s">
        <v>70</v>
      </c>
      <c r="E41" s="383" t="s">
        <v>141</v>
      </c>
      <c r="F41" s="383"/>
      <c r="G41" s="383"/>
      <c r="H41" s="383"/>
      <c r="I41" s="383"/>
      <c r="J41" s="383"/>
      <c r="K41" s="383"/>
      <c r="L41" s="18" t="s">
        <v>125</v>
      </c>
      <c r="M41" s="80" t="s">
        <v>2</v>
      </c>
      <c r="N41" s="26"/>
      <c r="O41" s="2"/>
      <c r="P41" s="2"/>
      <c r="Q41" s="2"/>
      <c r="R41" s="2"/>
      <c r="S41" s="2"/>
      <c r="T41" s="22"/>
      <c r="U41" s="22"/>
      <c r="V41" s="90"/>
      <c r="W41" s="88"/>
      <c r="X41" s="14"/>
      <c r="Y41" s="14"/>
      <c r="Z41" s="14"/>
      <c r="AA41" s="14"/>
      <c r="AB41" s="14"/>
      <c r="AC41" s="14"/>
      <c r="AD41" s="14"/>
    </row>
    <row r="42" spans="1:30" x14ac:dyDescent="0.25">
      <c r="A42" s="26"/>
      <c r="B42" s="1"/>
      <c r="C42" s="27"/>
      <c r="D42" s="79" t="s">
        <v>24</v>
      </c>
      <c r="E42" s="383" t="s">
        <v>49</v>
      </c>
      <c r="F42" s="383"/>
      <c r="G42" s="383"/>
      <c r="H42" s="383"/>
      <c r="I42" s="383"/>
      <c r="J42" s="383"/>
      <c r="K42" s="383"/>
      <c r="L42" s="18" t="s">
        <v>124</v>
      </c>
      <c r="M42" s="80" t="s">
        <v>142</v>
      </c>
      <c r="N42" s="26"/>
      <c r="O42" s="89"/>
      <c r="P42" s="2"/>
      <c r="Q42" s="2"/>
      <c r="R42" s="2"/>
      <c r="S42" s="2"/>
      <c r="T42" s="22"/>
      <c r="U42" s="22"/>
      <c r="V42" s="90"/>
      <c r="W42" s="88"/>
      <c r="X42" s="14"/>
      <c r="Y42" s="14"/>
      <c r="Z42" s="14"/>
      <c r="AA42" s="14"/>
      <c r="AB42" s="14"/>
      <c r="AC42" s="14"/>
      <c r="AD42" s="14"/>
    </row>
    <row r="43" spans="1:30" x14ac:dyDescent="0.25">
      <c r="A43" s="26"/>
      <c r="B43" s="1"/>
      <c r="C43" s="27"/>
      <c r="D43" s="79" t="s">
        <v>71</v>
      </c>
      <c r="E43" s="383" t="s">
        <v>50</v>
      </c>
      <c r="F43" s="383"/>
      <c r="G43" s="383"/>
      <c r="H43" s="383"/>
      <c r="I43" s="383"/>
      <c r="J43" s="383"/>
      <c r="K43" s="383"/>
      <c r="L43" s="18" t="s">
        <v>130</v>
      </c>
      <c r="M43" s="80" t="s">
        <v>2</v>
      </c>
      <c r="N43" s="26"/>
      <c r="O43" s="2"/>
      <c r="P43" s="2"/>
      <c r="Q43" s="2"/>
      <c r="R43" s="2"/>
      <c r="S43" s="2"/>
      <c r="T43" s="22"/>
      <c r="U43" s="22"/>
      <c r="V43" s="90"/>
      <c r="W43" s="88"/>
      <c r="X43" s="14"/>
      <c r="Y43" s="14"/>
      <c r="Z43" s="14"/>
      <c r="AA43" s="14"/>
      <c r="AB43" s="14"/>
      <c r="AC43" s="14"/>
      <c r="AD43" s="14"/>
    </row>
    <row r="44" spans="1:30" x14ac:dyDescent="0.25">
      <c r="A44" s="26"/>
      <c r="B44" s="1"/>
      <c r="C44" s="27"/>
      <c r="D44" s="381" t="s">
        <v>25</v>
      </c>
      <c r="E44" s="382"/>
      <c r="F44" s="382"/>
      <c r="G44" s="382"/>
      <c r="H44" s="382"/>
      <c r="I44" s="382"/>
      <c r="J44" s="382"/>
      <c r="K44" s="382"/>
      <c r="L44" s="17" t="s">
        <v>134</v>
      </c>
      <c r="M44" s="78" t="s">
        <v>135</v>
      </c>
      <c r="N44" s="26"/>
      <c r="O44" s="90"/>
      <c r="P44" s="90"/>
      <c r="Q44" s="90"/>
      <c r="R44" s="90"/>
      <c r="S44" s="90"/>
      <c r="T44" s="90"/>
      <c r="U44" s="2"/>
      <c r="V44" s="2"/>
      <c r="W44" s="88"/>
      <c r="X44" s="14"/>
      <c r="Y44" s="14"/>
      <c r="Z44" s="14"/>
      <c r="AA44" s="14"/>
      <c r="AB44" s="14"/>
      <c r="AC44" s="14"/>
      <c r="AD44" s="14"/>
    </row>
    <row r="45" spans="1:30" x14ac:dyDescent="0.25">
      <c r="A45" s="26"/>
      <c r="B45" s="1"/>
      <c r="C45" s="27"/>
      <c r="D45" s="79" t="s">
        <v>72</v>
      </c>
      <c r="E45" s="375" t="s">
        <v>147</v>
      </c>
      <c r="F45" s="376"/>
      <c r="G45" s="376"/>
      <c r="H45" s="376"/>
      <c r="I45" s="376"/>
      <c r="J45" s="376"/>
      <c r="K45" s="377"/>
      <c r="L45" s="18" t="s">
        <v>125</v>
      </c>
      <c r="M45" s="80" t="s">
        <v>2</v>
      </c>
      <c r="N45" s="26"/>
      <c r="O45" s="2"/>
      <c r="P45" s="2"/>
      <c r="Q45" s="2"/>
      <c r="R45" s="2"/>
      <c r="S45" s="2"/>
      <c r="T45" s="22"/>
      <c r="U45" s="22"/>
      <c r="V45" s="2"/>
      <c r="W45" s="88"/>
      <c r="X45" s="14"/>
      <c r="Y45" s="14"/>
      <c r="Z45" s="14"/>
      <c r="AA45" s="14"/>
      <c r="AB45" s="14"/>
      <c r="AC45" s="14"/>
      <c r="AD45" s="14"/>
    </row>
    <row r="46" spans="1:30" x14ac:dyDescent="0.25">
      <c r="A46" s="26"/>
      <c r="B46" s="1"/>
      <c r="C46" s="27"/>
      <c r="D46" s="79" t="s">
        <v>26</v>
      </c>
      <c r="E46" s="375" t="s">
        <v>148</v>
      </c>
      <c r="F46" s="376"/>
      <c r="G46" s="376"/>
      <c r="H46" s="376"/>
      <c r="I46" s="376"/>
      <c r="J46" s="376"/>
      <c r="K46" s="377"/>
      <c r="L46" s="18" t="s">
        <v>124</v>
      </c>
      <c r="M46" s="80" t="s">
        <v>142</v>
      </c>
      <c r="N46" s="26"/>
      <c r="O46" s="89"/>
      <c r="P46" s="2"/>
      <c r="Q46" s="2"/>
      <c r="R46" s="2"/>
      <c r="S46" s="2"/>
      <c r="T46" s="22"/>
      <c r="U46" s="22"/>
      <c r="V46" s="2"/>
      <c r="W46" s="88"/>
      <c r="X46" s="14"/>
      <c r="Y46" s="14"/>
      <c r="Z46" s="14"/>
      <c r="AA46" s="14"/>
      <c r="AB46" s="14"/>
      <c r="AC46" s="14"/>
      <c r="AD46" s="14"/>
    </row>
    <row r="47" spans="1:30" x14ac:dyDescent="0.25">
      <c r="A47" s="26"/>
      <c r="B47" s="1"/>
      <c r="C47" s="27"/>
      <c r="D47" s="381" t="s">
        <v>27</v>
      </c>
      <c r="E47" s="382"/>
      <c r="F47" s="382"/>
      <c r="G47" s="382"/>
      <c r="H47" s="382"/>
      <c r="I47" s="382"/>
      <c r="J47" s="382"/>
      <c r="K47" s="382"/>
      <c r="L47" s="17" t="s">
        <v>134</v>
      </c>
      <c r="M47" s="78" t="s">
        <v>135</v>
      </c>
      <c r="N47" s="26"/>
      <c r="O47" s="90"/>
      <c r="P47" s="90"/>
      <c r="Q47" s="90"/>
      <c r="R47" s="90"/>
      <c r="S47" s="90"/>
      <c r="T47" s="90"/>
      <c r="U47" s="2"/>
      <c r="V47" s="2"/>
      <c r="W47" s="88"/>
      <c r="X47" s="14"/>
      <c r="Y47" s="14"/>
      <c r="Z47" s="14"/>
      <c r="AA47" s="14"/>
      <c r="AB47" s="14"/>
      <c r="AC47" s="14"/>
      <c r="AD47" s="14"/>
    </row>
    <row r="48" spans="1:30" x14ac:dyDescent="0.25">
      <c r="A48" s="26"/>
      <c r="B48" s="1"/>
      <c r="C48" s="27"/>
      <c r="D48" s="79" t="s">
        <v>73</v>
      </c>
      <c r="E48" s="375" t="s">
        <v>144</v>
      </c>
      <c r="F48" s="376"/>
      <c r="G48" s="376"/>
      <c r="H48" s="376"/>
      <c r="I48" s="376"/>
      <c r="J48" s="376"/>
      <c r="K48" s="377"/>
      <c r="L48" s="19" t="s">
        <v>125</v>
      </c>
      <c r="M48" s="80" t="s">
        <v>2</v>
      </c>
      <c r="N48" s="26"/>
      <c r="O48" s="2"/>
      <c r="P48" s="2"/>
      <c r="Q48" s="2"/>
      <c r="R48" s="2"/>
      <c r="S48" s="2"/>
      <c r="T48" s="22"/>
      <c r="U48" s="22"/>
      <c r="V48" s="90"/>
      <c r="W48" s="88"/>
      <c r="X48" s="14"/>
      <c r="Y48" s="14"/>
      <c r="Z48" s="14"/>
      <c r="AA48" s="14"/>
      <c r="AB48" s="14"/>
      <c r="AC48" s="14"/>
      <c r="AD48" s="14"/>
    </row>
    <row r="49" spans="1:30" x14ac:dyDescent="0.25">
      <c r="A49" s="26"/>
      <c r="B49" s="1"/>
      <c r="C49" s="27"/>
      <c r="D49" s="79" t="s">
        <v>74</v>
      </c>
      <c r="E49" s="372" t="s">
        <v>146</v>
      </c>
      <c r="F49" s="373"/>
      <c r="G49" s="373"/>
      <c r="H49" s="373"/>
      <c r="I49" s="373"/>
      <c r="J49" s="373"/>
      <c r="K49" s="374"/>
      <c r="L49" s="19" t="s">
        <v>125</v>
      </c>
      <c r="M49" s="80" t="s">
        <v>2</v>
      </c>
      <c r="N49" s="26"/>
      <c r="O49" s="2"/>
      <c r="P49" s="2"/>
      <c r="Q49" s="2"/>
      <c r="R49" s="2"/>
      <c r="S49" s="2"/>
      <c r="T49" s="22"/>
      <c r="U49" s="22"/>
      <c r="V49" s="90"/>
      <c r="W49" s="88"/>
      <c r="X49" s="14"/>
      <c r="Y49" s="14"/>
      <c r="Z49" s="14"/>
      <c r="AA49" s="14"/>
      <c r="AB49" s="14"/>
      <c r="AC49" s="14"/>
      <c r="AD49" s="14"/>
    </row>
    <row r="50" spans="1:30" x14ac:dyDescent="0.25">
      <c r="A50" s="26"/>
      <c r="B50" s="1"/>
      <c r="C50" s="27"/>
      <c r="D50" s="79" t="s">
        <v>75</v>
      </c>
      <c r="E50" s="375" t="s">
        <v>145</v>
      </c>
      <c r="F50" s="376"/>
      <c r="G50" s="376"/>
      <c r="H50" s="376"/>
      <c r="I50" s="376"/>
      <c r="J50" s="376"/>
      <c r="K50" s="377"/>
      <c r="L50" s="19" t="s">
        <v>125</v>
      </c>
      <c r="M50" s="80" t="s">
        <v>2</v>
      </c>
      <c r="N50" s="26"/>
      <c r="O50" s="2"/>
      <c r="P50" s="2"/>
      <c r="Q50" s="2"/>
      <c r="R50" s="2"/>
      <c r="S50" s="2"/>
      <c r="T50" s="22"/>
      <c r="U50" s="22"/>
      <c r="V50" s="90"/>
      <c r="W50" s="88"/>
      <c r="X50" s="14"/>
      <c r="Y50" s="14"/>
      <c r="Z50" s="14"/>
      <c r="AA50" s="14"/>
      <c r="AB50" s="14"/>
      <c r="AC50" s="14"/>
      <c r="AD50" s="14"/>
    </row>
    <row r="51" spans="1:30" ht="15.75" thickBot="1" x14ac:dyDescent="0.3">
      <c r="A51" s="28"/>
      <c r="B51" s="29"/>
      <c r="C51" s="30"/>
      <c r="D51" s="83" t="s">
        <v>28</v>
      </c>
      <c r="E51" s="378" t="s">
        <v>143</v>
      </c>
      <c r="F51" s="379"/>
      <c r="G51" s="379"/>
      <c r="H51" s="379"/>
      <c r="I51" s="379"/>
      <c r="J51" s="379"/>
      <c r="K51" s="380"/>
      <c r="L51" s="84" t="s">
        <v>124</v>
      </c>
      <c r="M51" s="85" t="s">
        <v>142</v>
      </c>
      <c r="N51" s="28"/>
      <c r="O51" s="91"/>
      <c r="P51" s="92"/>
      <c r="Q51" s="92"/>
      <c r="R51" s="92"/>
      <c r="S51" s="92"/>
      <c r="T51" s="93"/>
      <c r="U51" s="93"/>
      <c r="V51" s="94"/>
      <c r="W51" s="95"/>
      <c r="X51" s="14"/>
      <c r="Y51" s="14"/>
      <c r="Z51" s="14"/>
      <c r="AA51" s="14"/>
      <c r="AB51" s="14"/>
      <c r="AC51" s="14"/>
      <c r="AD51" s="14"/>
    </row>
    <row r="61" spans="1:30" ht="409.5" customHeight="1" x14ac:dyDescent="0.25"/>
    <row r="62" spans="1:30" ht="15" customHeight="1" x14ac:dyDescent="0.25"/>
    <row r="64" spans="1:30" ht="409.6" customHeight="1" x14ac:dyDescent="0.25"/>
    <row r="65" spans="1:2" ht="111.75" customHeight="1" x14ac:dyDescent="0.25"/>
    <row r="66" spans="1:2" ht="20.25" customHeight="1" x14ac:dyDescent="0.25">
      <c r="A66" s="6"/>
      <c r="B66" s="7"/>
    </row>
  </sheetData>
  <mergeCells count="72">
    <mergeCell ref="D39:K39"/>
    <mergeCell ref="E34:K34"/>
    <mergeCell ref="E35:K35"/>
    <mergeCell ref="E36:K36"/>
    <mergeCell ref="E37:K37"/>
    <mergeCell ref="E38:K38"/>
    <mergeCell ref="A2:C2"/>
    <mergeCell ref="A1:C1"/>
    <mergeCell ref="A15:C15"/>
    <mergeCell ref="A8:C11"/>
    <mergeCell ref="A12:C14"/>
    <mergeCell ref="A3:C7"/>
    <mergeCell ref="E7:K7"/>
    <mergeCell ref="E8:K8"/>
    <mergeCell ref="E9:K9"/>
    <mergeCell ref="D12:K12"/>
    <mergeCell ref="E13:K13"/>
    <mergeCell ref="E14:K14"/>
    <mergeCell ref="E15:K15"/>
    <mergeCell ref="E16:K16"/>
    <mergeCell ref="D17:K17"/>
    <mergeCell ref="E18:K18"/>
    <mergeCell ref="E19:K19"/>
    <mergeCell ref="E20:K20"/>
    <mergeCell ref="D21:K21"/>
    <mergeCell ref="E22:K22"/>
    <mergeCell ref="E23:K23"/>
    <mergeCell ref="E24:K24"/>
    <mergeCell ref="E25:K25"/>
    <mergeCell ref="E26:K26"/>
    <mergeCell ref="E27:K27"/>
    <mergeCell ref="E28:K28"/>
    <mergeCell ref="E29:K29"/>
    <mergeCell ref="E30:K30"/>
    <mergeCell ref="E31:K31"/>
    <mergeCell ref="D32:K32"/>
    <mergeCell ref="E33:K33"/>
    <mergeCell ref="E40:K40"/>
    <mergeCell ref="E41:K41"/>
    <mergeCell ref="E42:K42"/>
    <mergeCell ref="E43:K43"/>
    <mergeCell ref="D44:K44"/>
    <mergeCell ref="E49:K49"/>
    <mergeCell ref="E50:K50"/>
    <mergeCell ref="E51:K51"/>
    <mergeCell ref="E45:K45"/>
    <mergeCell ref="E46:K46"/>
    <mergeCell ref="D47:K47"/>
    <mergeCell ref="E48:K48"/>
    <mergeCell ref="N1:W1"/>
    <mergeCell ref="N2:W2"/>
    <mergeCell ref="D3:M5"/>
    <mergeCell ref="N3:W5"/>
    <mergeCell ref="N6:U6"/>
    <mergeCell ref="D6:K6"/>
    <mergeCell ref="D2:M2"/>
    <mergeCell ref="D1:M1"/>
    <mergeCell ref="O7:U7"/>
    <mergeCell ref="O8:U8"/>
    <mergeCell ref="O9:U9"/>
    <mergeCell ref="O10:U10"/>
    <mergeCell ref="O11:U11"/>
    <mergeCell ref="N18:U18"/>
    <mergeCell ref="O14:U14"/>
    <mergeCell ref="O13:U13"/>
    <mergeCell ref="O12:U12"/>
    <mergeCell ref="N15:W17"/>
    <mergeCell ref="O25:V30"/>
    <mergeCell ref="O19:U19"/>
    <mergeCell ref="O20:U20"/>
    <mergeCell ref="O21:U21"/>
    <mergeCell ref="O22:U22"/>
  </mergeCells>
  <pageMargins left="0.7" right="0.7" top="0.75" bottom="0.75" header="0.3" footer="0.3"/>
  <pageSetup paperSize="9" scale="94" orientation="portrait" horizontalDpi="90" verticalDpi="90" r:id="rId1"/>
  <colBreaks count="2" manualBreakCount="2">
    <brk id="3" max="50" man="1"/>
    <brk id="13"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S543"/>
  <sheetViews>
    <sheetView zoomScale="66" zoomScaleNormal="66" zoomScaleSheetLayoutView="84" workbookViewId="0">
      <pane ySplit="3" topLeftCell="A4" activePane="bottomLeft" state="frozen"/>
      <selection pane="bottomLeft" activeCell="M18" sqref="M18"/>
    </sheetView>
  </sheetViews>
  <sheetFormatPr defaultRowHeight="15" x14ac:dyDescent="0.25"/>
  <cols>
    <col min="1" max="1" width="15.7109375" customWidth="1"/>
    <col min="2" max="2" width="14.85546875" customWidth="1"/>
    <col min="3" max="3" width="13.42578125" customWidth="1"/>
    <col min="4" max="4" width="11.5703125" customWidth="1"/>
    <col min="5" max="5" width="14.5703125" customWidth="1"/>
    <col min="6" max="6" width="11.7109375" customWidth="1"/>
    <col min="7" max="7" width="11.5703125" customWidth="1"/>
    <col min="8" max="8" width="12.28515625" customWidth="1"/>
    <col min="9" max="9" width="19" customWidth="1"/>
    <col min="10" max="12" width="15.5703125" customWidth="1"/>
    <col min="13" max="13" width="9.42578125" customWidth="1"/>
    <col min="14" max="14" width="9.5703125" customWidth="1"/>
    <col min="15" max="15" width="12.42578125" customWidth="1"/>
    <col min="16" max="16" width="11.5703125" customWidth="1"/>
    <col min="17" max="17" width="12.42578125" customWidth="1"/>
    <col min="18" max="18" width="13.42578125" bestFit="1" customWidth="1"/>
    <col min="19" max="19" width="12.5703125" customWidth="1"/>
    <col min="20" max="20" width="6.28515625" customWidth="1"/>
    <col min="21" max="21" width="5.5703125" customWidth="1"/>
    <col min="22" max="22" width="7.140625" customWidth="1"/>
    <col min="23" max="23" width="10.85546875" customWidth="1"/>
    <col min="24" max="24" width="12.28515625" customWidth="1"/>
    <col min="26" max="26" width="11.5703125" customWidth="1"/>
    <col min="30" max="30" width="15.5703125" customWidth="1"/>
    <col min="32" max="32" width="12.85546875" bestFit="1" customWidth="1"/>
  </cols>
  <sheetData>
    <row r="1" spans="1:45" ht="15.75" thickBot="1" x14ac:dyDescent="0.3">
      <c r="A1" s="408" t="s">
        <v>458</v>
      </c>
      <c r="B1" s="409"/>
      <c r="C1" s="409"/>
      <c r="D1" s="409"/>
      <c r="E1" s="409"/>
      <c r="F1" s="409"/>
      <c r="G1" s="409"/>
      <c r="H1" s="409"/>
      <c r="I1" s="409"/>
      <c r="J1" s="409"/>
      <c r="K1" s="409"/>
      <c r="L1" s="410"/>
      <c r="M1" s="31"/>
      <c r="N1" s="408" t="s">
        <v>459</v>
      </c>
      <c r="O1" s="409"/>
      <c r="P1" s="409"/>
      <c r="Q1" s="409"/>
      <c r="R1" s="409"/>
      <c r="S1" s="409"/>
      <c r="T1" s="409"/>
      <c r="U1" s="409"/>
      <c r="V1" s="409"/>
      <c r="W1" s="409"/>
      <c r="X1" s="409"/>
      <c r="Y1" s="409"/>
      <c r="Z1" s="409"/>
      <c r="AA1" s="409"/>
      <c r="AB1" s="409"/>
      <c r="AC1" s="409"/>
      <c r="AD1" s="409"/>
      <c r="AE1" s="409"/>
      <c r="AF1" s="410"/>
    </row>
    <row r="2" spans="1:45" ht="15.75" thickBot="1" x14ac:dyDescent="0.3">
      <c r="A2" s="411" t="s">
        <v>235</v>
      </c>
      <c r="B2" s="412"/>
      <c r="C2" s="412"/>
      <c r="D2" s="412"/>
      <c r="E2" s="412"/>
      <c r="F2" s="412"/>
      <c r="G2" s="412"/>
      <c r="H2" s="412"/>
      <c r="I2" s="412"/>
      <c r="J2" s="412"/>
      <c r="K2" s="412"/>
      <c r="L2" s="413"/>
      <c r="M2" s="26"/>
      <c r="N2" s="42"/>
      <c r="O2" s="1"/>
      <c r="P2" s="422" t="s">
        <v>296</v>
      </c>
      <c r="Q2" s="423"/>
      <c r="R2" s="424"/>
      <c r="S2" s="422" t="s">
        <v>297</v>
      </c>
      <c r="T2" s="423"/>
      <c r="U2" s="423"/>
      <c r="V2" s="423"/>
      <c r="W2" s="423"/>
      <c r="X2" s="423"/>
      <c r="Y2" s="423"/>
      <c r="Z2" s="423"/>
      <c r="AA2" s="423"/>
      <c r="AB2" s="423"/>
      <c r="AC2" s="111"/>
      <c r="AD2" s="1" t="s">
        <v>321</v>
      </c>
      <c r="AE2" s="1" t="s">
        <v>320</v>
      </c>
      <c r="AF2" s="27"/>
    </row>
    <row r="3" spans="1:45" ht="48.75" thickBot="1" x14ac:dyDescent="0.3">
      <c r="A3" s="97" t="s">
        <v>85</v>
      </c>
      <c r="B3" s="98" t="s">
        <v>80</v>
      </c>
      <c r="C3" s="98" t="s">
        <v>113</v>
      </c>
      <c r="D3" s="98" t="s">
        <v>83</v>
      </c>
      <c r="E3" s="98" t="s">
        <v>84</v>
      </c>
      <c r="F3" s="98" t="s">
        <v>86</v>
      </c>
      <c r="G3" s="98" t="s">
        <v>81</v>
      </c>
      <c r="H3" s="98" t="s">
        <v>152</v>
      </c>
      <c r="I3" s="98" t="s">
        <v>316</v>
      </c>
      <c r="J3" s="98" t="s">
        <v>317</v>
      </c>
      <c r="K3" s="98" t="s">
        <v>150</v>
      </c>
      <c r="L3" s="99" t="s">
        <v>82</v>
      </c>
      <c r="M3" s="26"/>
      <c r="N3" s="420"/>
      <c r="O3" s="421"/>
      <c r="P3" s="23" t="s">
        <v>162</v>
      </c>
      <c r="Q3" s="23" t="s">
        <v>276</v>
      </c>
      <c r="R3" s="24" t="s">
        <v>122</v>
      </c>
      <c r="S3" s="157" t="s">
        <v>158</v>
      </c>
      <c r="T3" s="23" t="s">
        <v>99</v>
      </c>
      <c r="U3" s="23" t="s">
        <v>92</v>
      </c>
      <c r="V3" s="23" t="s">
        <v>93</v>
      </c>
      <c r="W3" s="23" t="s">
        <v>289</v>
      </c>
      <c r="X3" s="23" t="s">
        <v>94</v>
      </c>
      <c r="Y3" s="23" t="s">
        <v>159</v>
      </c>
      <c r="Z3" s="23" t="s">
        <v>103</v>
      </c>
      <c r="AA3" s="23" t="s">
        <v>160</v>
      </c>
      <c r="AB3" s="24" t="s">
        <v>161</v>
      </c>
      <c r="AC3" s="112"/>
      <c r="AD3" s="50"/>
      <c r="AE3" s="63" t="s">
        <v>162</v>
      </c>
      <c r="AF3" s="62" t="s">
        <v>122</v>
      </c>
    </row>
    <row r="4" spans="1:45" ht="36" x14ac:dyDescent="0.25">
      <c r="A4" s="160" t="s">
        <v>349</v>
      </c>
      <c r="B4" s="161" t="s">
        <v>322</v>
      </c>
      <c r="C4" s="161" t="s">
        <v>1</v>
      </c>
      <c r="D4" s="161" t="s">
        <v>28</v>
      </c>
      <c r="E4" s="161" t="s">
        <v>323</v>
      </c>
      <c r="F4" s="161"/>
      <c r="G4" s="161"/>
      <c r="H4" s="161">
        <v>1500</v>
      </c>
      <c r="I4" s="161" t="s">
        <v>283</v>
      </c>
      <c r="J4" s="161" t="s">
        <v>283</v>
      </c>
      <c r="K4" s="162"/>
      <c r="L4" s="163"/>
      <c r="M4" s="1"/>
      <c r="N4" s="418" t="s">
        <v>301</v>
      </c>
      <c r="O4" s="419"/>
      <c r="P4" s="310">
        <f t="shared" ref="P4:P12" si="0">SUM(S4:AB4)</f>
        <v>97500</v>
      </c>
      <c r="Q4" s="225">
        <f t="shared" ref="Q4:Q12" si="1">P4/$R$14</f>
        <v>39</v>
      </c>
      <c r="R4" s="227">
        <f t="shared" ref="R4:R9" si="2">P4/$P$13</f>
        <v>8.6545695017408997E-2</v>
      </c>
      <c r="S4" s="228">
        <f>SUMIFS(H4:H543,D4:D543,"*17 01*",J4:J543,"*element for reuse*")</f>
        <v>96000</v>
      </c>
      <c r="T4" s="229">
        <f>SUMIFS(H4:H543,D4:D543,"*17 02 01*",J4:J543,"*element for reuse*")</f>
        <v>0</v>
      </c>
      <c r="U4" s="229">
        <f>SUMIFS(H4:H543,D4:D543,"*17 02 02*",J4:J543,"*element for reuse*")</f>
        <v>0</v>
      </c>
      <c r="V4" s="229">
        <f>SUMIFS(H4:H543,D4:D543,"*17 02 03*",J4:J543,"*element for reuse*")</f>
        <v>0</v>
      </c>
      <c r="W4" s="229">
        <f>SUMIFS(H4:H543,D4:D543,"*17 02 04*",J4:J543,"*element for reuse*")</f>
        <v>0</v>
      </c>
      <c r="X4" s="229">
        <f>SUMIFS(H4:H543,D4:D543,"*17 03*",J4:J543,"*element for reuse*")</f>
        <v>0</v>
      </c>
      <c r="Y4" s="229">
        <f>SUMIFS(H4:H543,D4:D543,"*17 04*",J4:J543,"*element for reuse*")</f>
        <v>0</v>
      </c>
      <c r="Z4" s="229">
        <f>SUMIFS(H4:H543,D4:D543,"*17 06*",J4:J543,"*element for reuse*")</f>
        <v>0</v>
      </c>
      <c r="AA4" s="229">
        <f>SUMIFS(H4:H543,D4:D543,"*17 08*",J4:J543,"*element for reuse*")</f>
        <v>0</v>
      </c>
      <c r="AB4" s="230">
        <f>SUMIFS(H4:H543,D4:D543,"*17 09*",J4:J543,"*element for reuse*")</f>
        <v>1500</v>
      </c>
      <c r="AC4" s="72"/>
      <c r="AD4" s="156" t="s">
        <v>318</v>
      </c>
      <c r="AE4" s="39">
        <f>SUMIFS(H4:H543,D4:D543,"*17 01*",I4:I543,"*element for reuse*")+SUMIFS(H4:H543,D4:D543,"*17 02*",I4:I543,"*element for reuse*")+SUMIFS(H4:H543,D4:D543,"*17 03*",I4:I543,"*element for reuse*")+SUMIFS(H4:H543,D4:D543,"*17 04*",I4:I543,"*element for reuse*")+SUMIFS(H4:H543,D4:D543,"*17 06*",I4:I543,"*element for reuse*")+SUMIFS(H4:H543,D4:D543,"*17 08*",I4:I543,"*element for reuse*")+SUMIFS(H4:H543,D4:D543,"*17 09*",I4:I543,"*element for reuse*")</f>
        <v>124250</v>
      </c>
      <c r="AF4" s="41">
        <f t="shared" ref="AF4:AF9" si="3">AE4/$AE$10</f>
        <v>0.11029028313756993</v>
      </c>
      <c r="AQ4" t="s">
        <v>353</v>
      </c>
      <c r="AR4" t="s">
        <v>354</v>
      </c>
      <c r="AS4" t="s">
        <v>355</v>
      </c>
    </row>
    <row r="5" spans="1:45" ht="33.6" customHeight="1" x14ac:dyDescent="0.25">
      <c r="A5" s="8" t="s">
        <v>349</v>
      </c>
      <c r="B5" s="8" t="s">
        <v>324</v>
      </c>
      <c r="C5" s="8" t="s">
        <v>106</v>
      </c>
      <c r="D5" s="8" t="s">
        <v>5</v>
      </c>
      <c r="E5" s="8" t="s">
        <v>325</v>
      </c>
      <c r="F5" s="8" t="s">
        <v>326</v>
      </c>
      <c r="G5" s="159" t="s">
        <v>155</v>
      </c>
      <c r="H5" s="159">
        <f>40*2400</f>
        <v>96000</v>
      </c>
      <c r="I5" s="8" t="s">
        <v>283</v>
      </c>
      <c r="J5" s="8" t="s">
        <v>283</v>
      </c>
      <c r="K5" s="13"/>
      <c r="L5" s="164"/>
      <c r="M5" s="1"/>
      <c r="N5" s="416" t="s">
        <v>302</v>
      </c>
      <c r="O5" s="417"/>
      <c r="P5" s="234">
        <f t="shared" si="0"/>
        <v>4900</v>
      </c>
      <c r="Q5" s="235">
        <f t="shared" si="1"/>
        <v>1.96</v>
      </c>
      <c r="R5" s="233">
        <f t="shared" si="2"/>
        <v>4.349475954721068E-3</v>
      </c>
      <c r="S5" s="234">
        <f>SUMIFS(H4:H543,D4:D543,"*17 01*",J4:J543,"*material for reuse*")</f>
        <v>0</v>
      </c>
      <c r="T5" s="235">
        <f>SUMIFS(H4:H543,D4:D543,"*17 02 01*",J4:J543,"*material for reuse*")</f>
        <v>4900</v>
      </c>
      <c r="U5" s="235">
        <f>SUMIFS(H4:H543,D4:D543,"*17 02 02*",J4:J543,"*material for reuse*")</f>
        <v>0</v>
      </c>
      <c r="V5" s="235">
        <f>SUMIFS(H4:H543,D4:D543,"*17 02 03*",J4:J543,"*material for reuse*")</f>
        <v>0</v>
      </c>
      <c r="W5" s="235">
        <f>SUMIFS(H4:H543,D4:D543,"*17 02 04*",J4:J543,"*material for reuse*")</f>
        <v>0</v>
      </c>
      <c r="X5" s="235">
        <f>SUMIFS(H4:H543,D4:D543,"*17 03*",J4:J543,"*material for reuse*")</f>
        <v>0</v>
      </c>
      <c r="Y5" s="235">
        <f>SUMIFS(H4:H543,D4:D543,"*17 04*",J4:J543,"*material for reuse*")</f>
        <v>0</v>
      </c>
      <c r="Z5" s="235">
        <f>SUMIFS(H4:H543,D4:D543,"*17 06*",J4:J543,"*material for reuse*")</f>
        <v>0</v>
      </c>
      <c r="AA5" s="235">
        <f>SUMIFS(H4:H543,D4:D543,"*17 08*",J4:J543,"*material for reuse*")</f>
        <v>0</v>
      </c>
      <c r="AB5" s="236">
        <f>SUMIFS(H4:H543,D4:D543,"*17 09*",J4:J543,"*material for reuse*")</f>
        <v>0</v>
      </c>
      <c r="AC5" s="2"/>
      <c r="AD5" s="332" t="s">
        <v>319</v>
      </c>
      <c r="AE5" s="273">
        <f>SUMIFS(H4:H543,D4:D543,"*17 01*",I4:I543,"*material for reuse*")+SUMIFS(H4:H543,D4:D543,"*17 02*",I4:I543,"*material for reuse*")+SUMIFS(H4:H543,D4:D543,"*17 03*",I4:I543,"*material for reuse*")+SUMIFS(H4:H543,D4:D543,"*17 04*",I4:I543,"*material for reuse*")+SUMIFS(H4:H543,D4:D543,"*17 06*",I4:I543,"*material for reuse*")+SUMIFS(H4:H543,D4:D543,"*17 08*",I4:I543,"*material for reuse*")+SUMIFS(H4:H543,D4:D543,"*17 09*",I4:I543,"*material for reuse*")</f>
        <v>4922.5</v>
      </c>
      <c r="AF5" s="274">
        <f t="shared" si="3"/>
        <v>4.3694480381866237E-3</v>
      </c>
      <c r="AP5">
        <v>0</v>
      </c>
      <c r="AQ5">
        <v>0</v>
      </c>
      <c r="AR5">
        <v>0</v>
      </c>
      <c r="AS5">
        <v>0</v>
      </c>
    </row>
    <row r="6" spans="1:45" ht="24.75" thickBot="1" x14ac:dyDescent="0.3">
      <c r="A6" s="60" t="s">
        <v>149</v>
      </c>
      <c r="B6" s="60" t="s">
        <v>116</v>
      </c>
      <c r="C6" s="60" t="s">
        <v>0</v>
      </c>
      <c r="D6" s="60" t="s">
        <v>216</v>
      </c>
      <c r="E6" s="60" t="s">
        <v>117</v>
      </c>
      <c r="F6" s="60" t="s">
        <v>118</v>
      </c>
      <c r="G6" s="96" t="s">
        <v>153</v>
      </c>
      <c r="H6" s="96">
        <f>0.75*65</f>
        <v>48.75</v>
      </c>
      <c r="I6" s="96" t="s">
        <v>223</v>
      </c>
      <c r="J6" s="96" t="s">
        <v>312</v>
      </c>
      <c r="K6" s="100"/>
      <c r="L6" s="140"/>
      <c r="M6" s="1"/>
      <c r="N6" s="414" t="s">
        <v>303</v>
      </c>
      <c r="O6" s="415"/>
      <c r="P6" s="311">
        <f t="shared" si="0"/>
        <v>640772.5</v>
      </c>
      <c r="Q6" s="312">
        <f t="shared" si="1"/>
        <v>256.30900000000003</v>
      </c>
      <c r="R6" s="313">
        <f t="shared" si="2"/>
        <v>0.56878052677479696</v>
      </c>
      <c r="S6" s="234">
        <f>SUMIFS(H4:H543,D4:D543,"*17 01*",J4:J543,"*recycling of*")</f>
        <v>600000</v>
      </c>
      <c r="T6" s="235">
        <f>SUMIFS(H4:H543,D4:D543,"*17 02 01*",J4:J543,"*recycling of*")</f>
        <v>0</v>
      </c>
      <c r="U6" s="235">
        <f>SUMIFS(H4:H543,D4:D543,"*17 02 02*",J4:J543,"*recycling of*")</f>
        <v>0</v>
      </c>
      <c r="V6" s="235">
        <f>SUMIFS(H4:H543,D4:D543,"*17 02 03*",J4:J543,"*recycling of*")</f>
        <v>0</v>
      </c>
      <c r="W6" s="235">
        <f>SUMIFS(H4:H543,D4:D543,"*17 02 04*",J4:J543,"*recycling of*")</f>
        <v>0</v>
      </c>
      <c r="X6" s="235">
        <f>SUMIFS(H4:H543,D4:D543,"*17 03*",J4:J543,"*recycling of*")</f>
        <v>0</v>
      </c>
      <c r="Y6" s="235">
        <f>SUMIFS(H4:H543,D4:D543,"*17 04*",J4:J543,"*recycling of*")</f>
        <v>39022.5</v>
      </c>
      <c r="Z6" s="235">
        <f>SUMIFS(H4:H543,D4:D543,"*17 06*",J4:J543,"*recycling of*")</f>
        <v>0</v>
      </c>
      <c r="AA6" s="235">
        <f>SUMIFS(H4:H543,D4:D543,"*17 08*",J4:J543,"*recycling of*")</f>
        <v>0</v>
      </c>
      <c r="AB6" s="236">
        <f>SUMIFS(H4:H543,D4:D543,"*17 09*",J4:J543,"*recycling of*")</f>
        <v>1750</v>
      </c>
      <c r="AC6" s="73"/>
      <c r="AD6" s="333" t="s">
        <v>3</v>
      </c>
      <c r="AE6" s="279">
        <f>SUMIFS(H4:H543,D4:D543,"*17 01*",I4:I543,"*Recycling*")+SUMIFS(H4:H543,D4:D543,"*17 02*",I4:I543,"*Recycling*")+SUMIFS(H4:H543,D4:D543,"*17 03*",I4:I543,"*Recycling*")+SUMIFS(H4:H543,D4:D543,"*17 04*",I4:I543,"*Recycling*")+SUMIFS(H4:H543,D4:D543,"*17 06*",I4:I543,"*Recycling*")+SUMIFS(H4:H543,D4:D543,"*17 08*",I4:I543,"*Recycling*")+SUMIFS(H4:H543,D4:D543,"*17 09*",I4:I543,"*Recycling*")</f>
        <v>975000</v>
      </c>
      <c r="AF6" s="280">
        <f t="shared" si="3"/>
        <v>0.86545695017408997</v>
      </c>
      <c r="AP6">
        <v>4</v>
      </c>
      <c r="AQ6">
        <v>4</v>
      </c>
      <c r="AR6">
        <v>4</v>
      </c>
      <c r="AS6">
        <v>4</v>
      </c>
    </row>
    <row r="7" spans="1:45" ht="36" x14ac:dyDescent="0.25">
      <c r="A7" s="101" t="s">
        <v>149</v>
      </c>
      <c r="B7" s="60" t="s">
        <v>112</v>
      </c>
      <c r="C7" s="60" t="s">
        <v>0</v>
      </c>
      <c r="D7" s="60" t="s">
        <v>52</v>
      </c>
      <c r="E7" s="60" t="s">
        <v>217</v>
      </c>
      <c r="F7" s="60" t="s">
        <v>218</v>
      </c>
      <c r="G7" s="60" t="s">
        <v>219</v>
      </c>
      <c r="H7" s="60">
        <f>(150*0.3)*1100</f>
        <v>49500</v>
      </c>
      <c r="I7" s="60" t="s">
        <v>294</v>
      </c>
      <c r="J7" s="60" t="s">
        <v>109</v>
      </c>
      <c r="K7" s="61"/>
      <c r="L7" s="102" t="s">
        <v>224</v>
      </c>
      <c r="M7" s="1"/>
      <c r="N7" s="425" t="s">
        <v>304</v>
      </c>
      <c r="O7" s="426"/>
      <c r="P7" s="314">
        <f t="shared" si="0"/>
        <v>361000</v>
      </c>
      <c r="Q7" s="314">
        <f t="shared" si="1"/>
        <v>144.4</v>
      </c>
      <c r="R7" s="315">
        <f t="shared" si="2"/>
        <v>0.32044098360291945</v>
      </c>
      <c r="S7" s="316">
        <f>SUMIFS(H4:H543,D4:D543,"*17 01*",J4:J543,"*backfill*")</f>
        <v>361000</v>
      </c>
      <c r="T7" s="317">
        <f>SUMIFS(H4:H543,D4:D543,"*17 02 01*",J4:J543,"*backfill*")</f>
        <v>0</v>
      </c>
      <c r="U7" s="317">
        <f>SUMIFS(H4:H543,D4:D543,"*17 02 02*",J4:J543,"*backfill*")</f>
        <v>0</v>
      </c>
      <c r="V7" s="317">
        <f>SUMIFS(H4:H543,D4:D543,"*17 02 03*",J4:J543,"*backfill*")</f>
        <v>0</v>
      </c>
      <c r="W7" s="317">
        <f>SUMIFS(H4:H543,D4:D543,"*17 02 04*",J4:J543,"*backfill*")</f>
        <v>0</v>
      </c>
      <c r="X7" s="317">
        <f>SUMIFS(H4:H543,D4:D543,"*17 03*",J4:J543,"*backfill*")</f>
        <v>0</v>
      </c>
      <c r="Y7" s="317">
        <f>SUMIFS(H4:H543,D4:D543,"*17 04*",J4:J543,"*backfill*")</f>
        <v>0</v>
      </c>
      <c r="Z7" s="317">
        <f>SUMIFS(H4:H543,D4:D543,"*17 06*",J4:J543,"*backfill*")</f>
        <v>0</v>
      </c>
      <c r="AA7" s="317">
        <f>SUMIFS(H4:H543,D4:D543,"*17 08*",J4:J543,"*backfill*")</f>
        <v>0</v>
      </c>
      <c r="AB7" s="318">
        <f>SUMIFS(H4:H543,D4:D543,"*17 09*",J4:J543,"*backfill*")</f>
        <v>0</v>
      </c>
      <c r="AC7" s="73"/>
      <c r="AD7" s="334" t="s">
        <v>168</v>
      </c>
      <c r="AE7" s="337">
        <f>SUMIFS(H4:H543,D4:D543,"*17 01*",I4:I543,"*backfill*")+SUMIFS(H4:H543,D4:D543,"*17 02*",I4:I543,"*backfill*")+SUMIFS(H4:H543,D4:D543,"*17 03*",I4:I543,"*backfill*")+SUMIFS(H4:H543,D4:D543,"*17 04*",I4:I543,"*backfill*")+SUMIFS(H4:H543,D4:D543,"*17 06*",I4:I543,"*backfill*")+SUMIFS(H4:H543,D4:D543,"*17 08*",I4:I543,"*backfill*")+SUMIFS(H4:H543,D4:D543,"*17 09*",I4:I543,"*backfill*")</f>
        <v>0</v>
      </c>
      <c r="AF7" s="274">
        <f t="shared" si="3"/>
        <v>0</v>
      </c>
      <c r="AP7">
        <v>8</v>
      </c>
      <c r="AQ7">
        <v>8</v>
      </c>
      <c r="AR7">
        <v>8</v>
      </c>
      <c r="AS7">
        <v>8</v>
      </c>
    </row>
    <row r="8" spans="1:45" ht="36.75" thickBot="1" x14ac:dyDescent="0.3">
      <c r="A8" s="101" t="s">
        <v>149</v>
      </c>
      <c r="B8" s="60" t="s">
        <v>313</v>
      </c>
      <c r="C8" s="60" t="s">
        <v>0</v>
      </c>
      <c r="D8" s="60" t="s">
        <v>69</v>
      </c>
      <c r="E8" s="60" t="s">
        <v>233</v>
      </c>
      <c r="F8" s="60" t="s">
        <v>232</v>
      </c>
      <c r="G8" s="60" t="s">
        <v>231</v>
      </c>
      <c r="H8" s="60">
        <f>(800*0.02)*1400</f>
        <v>22400</v>
      </c>
      <c r="I8" s="60" t="s">
        <v>110</v>
      </c>
      <c r="J8" s="60" t="s">
        <v>110</v>
      </c>
      <c r="K8" s="61" t="s">
        <v>234</v>
      </c>
      <c r="L8" s="102"/>
      <c r="M8" s="1"/>
      <c r="N8" s="427" t="s">
        <v>305</v>
      </c>
      <c r="O8" s="428"/>
      <c r="P8" s="319">
        <f t="shared" si="0"/>
        <v>0</v>
      </c>
      <c r="Q8" s="319">
        <f t="shared" si="1"/>
        <v>0</v>
      </c>
      <c r="R8" s="320">
        <f t="shared" si="2"/>
        <v>0</v>
      </c>
      <c r="S8" s="321">
        <f>SUMIFS(H4:H543,D4:D543,"*17 01*",J4:J543,"*energy*")</f>
        <v>0</v>
      </c>
      <c r="T8" s="322">
        <f>SUMIFS(H4:H543,D4:D543,"*17 02 01*",J4:J543,"*energy*")</f>
        <v>0</v>
      </c>
      <c r="U8" s="322">
        <f>SUMIFS(H4:H543,D4:D543,"*17 02 02*",J4:J543,"*energy*")</f>
        <v>0</v>
      </c>
      <c r="V8" s="322">
        <f>SUMIFS(H4:H543,D4:D543,"*17 02 03*",J4:J543,"*energy*")</f>
        <v>0</v>
      </c>
      <c r="W8" s="322">
        <f>SUMIFS(H4:H543,D4:D543,"*17 02 04*",J4:J543,"*energy*")</f>
        <v>0</v>
      </c>
      <c r="X8" s="322">
        <f>SUMIFS(H4:H543,D4:D543,"*17 03*",J4:J543,"*energy*")</f>
        <v>0</v>
      </c>
      <c r="Y8" s="322">
        <f>SUMIFS(H4:H543,D4:D543,"*17 04*",J4:J543,"*energy*")</f>
        <v>0</v>
      </c>
      <c r="Z8" s="322">
        <f>SUMIFS(H4:H543,D4:D543,"*17 06*",J4:J543,"*energy*")</f>
        <v>0</v>
      </c>
      <c r="AA8" s="322">
        <f>SUMIFS(H4:H543,D4:D543,"*17 08*",J4:J543,"*energy*")</f>
        <v>0</v>
      </c>
      <c r="AB8" s="323">
        <f>SUMIFS(H4:H543,D4:D543,"*17 09*",J4:J543,"*energy*")</f>
        <v>0</v>
      </c>
      <c r="AC8" s="73"/>
      <c r="AD8" s="335" t="s">
        <v>156</v>
      </c>
      <c r="AE8" s="338">
        <f>SUMIFS(H4:H543,D4:D543,"*17 01*",I4:I543,"*energy*")+SUMIFS(H4:H543,D4:D543,"*17 02*",I4:I543,"*energy*")+SUMIFS(H4:H543,D4:D543,"*17 03*",I4:I543,"*energy*")+SUMIFS(H4:H543,D4:D543,"*17 04*",I4:I543,"*energy*")+SUMIFS(H4:H543,D4:D543,"*17 06*",I4:I543,"*energy*")+SUMIFS(H4:H543,D4:D543,"*17 08*",I4:I543,"*energy*")+SUMIFS(H4:H543,D4:D543,"*17 09*",I4:I543,"*energy*")</f>
        <v>0</v>
      </c>
      <c r="AF8" s="278">
        <f t="shared" si="3"/>
        <v>0</v>
      </c>
      <c r="AP8">
        <v>12</v>
      </c>
      <c r="AQ8">
        <v>12</v>
      </c>
      <c r="AR8">
        <v>12</v>
      </c>
      <c r="AS8">
        <v>12</v>
      </c>
    </row>
    <row r="9" spans="1:45" ht="24.75" thickBot="1" x14ac:dyDescent="0.3">
      <c r="A9" s="101" t="s">
        <v>79</v>
      </c>
      <c r="B9" s="60" t="s">
        <v>239</v>
      </c>
      <c r="C9" s="60" t="s">
        <v>1</v>
      </c>
      <c r="D9" s="60" t="s">
        <v>23</v>
      </c>
      <c r="E9" s="60" t="s">
        <v>151</v>
      </c>
      <c r="F9" s="60" t="s">
        <v>120</v>
      </c>
      <c r="G9" s="60" t="s">
        <v>154</v>
      </c>
      <c r="H9" s="60">
        <f>450*0.05</f>
        <v>22.5</v>
      </c>
      <c r="I9" s="60" t="s">
        <v>306</v>
      </c>
      <c r="J9" s="60" t="s">
        <v>311</v>
      </c>
      <c r="K9" s="61" t="s">
        <v>314</v>
      </c>
      <c r="L9" s="102"/>
      <c r="M9" s="1"/>
      <c r="N9" s="429" t="s">
        <v>157</v>
      </c>
      <c r="O9" s="430"/>
      <c r="P9" s="249">
        <f t="shared" si="0"/>
        <v>22400</v>
      </c>
      <c r="Q9" s="249">
        <f t="shared" si="1"/>
        <v>8.9600000000000009</v>
      </c>
      <c r="R9" s="292">
        <f t="shared" si="2"/>
        <v>1.9883318650153452E-2</v>
      </c>
      <c r="S9" s="324">
        <f>SUMIFS(H4:H543,D4:D543,"*17 01*",J4:J543,"*incineration*")+SUMIFS(H4:H543,D4:D543,"*17 01*",J4:J543,"*landfill*")</f>
        <v>0</v>
      </c>
      <c r="T9" s="325">
        <f>SUMIFS(H4:H543,D4:D543,"*17 02 01*",J4:J543,"*incineration*")+SUMIFS(H4:H543,D4:D543,"*17 02 01*",J4:J543,"*landfill*")</f>
        <v>0</v>
      </c>
      <c r="U9" s="325">
        <f>SUMIFS(H4:H543,D4:D543,"*17 02 02*",J4:J543,"*incineration*")+SUMIFS(H4:H543,D4:D543,"*17 02 02*",J4:J543,"*landfill*")</f>
        <v>0</v>
      </c>
      <c r="V9" s="325">
        <f>SUMIFS(H4:H543,D4:D543,"*17 02 03*",J4:J543,"*incineration*")+SUMIFS(H4:H543,D4:D543,"*17 02 03*",J4:J543,"*landfill*")</f>
        <v>0</v>
      </c>
      <c r="W9" s="325">
        <f>SUMIFS(H4:H543,D4:D543,"*17 02 04*",J4:J543,"*incineration*")+SUMIFS(H4:H543,D4:D543,"*17 02 04*",J4:J543,"*landfill*")</f>
        <v>0</v>
      </c>
      <c r="X9" s="325">
        <f>SUMIFS(H4:H543,D4:D543,"*17 03*",J4:J543,"*incineration*")+SUMIFS(H4:H543,D4:D543,"*17 03*",J4:J543,"*landfill*")</f>
        <v>0</v>
      </c>
      <c r="Y9" s="325">
        <f>SUMIFS(H4:H543,D4:D543,"*17 04*",J4:J543,"*incineration*")+SUMIFS(H4:H543,D4:D543,"*17 04*",J4:J543,"*landfill*")</f>
        <v>0</v>
      </c>
      <c r="Z9" s="325">
        <f>SUMIFS(H4:H543,D4:D543,"*17 06*",J4:J543,"*incineration*")+SUMIFS(H4:H543,D4:D543,"*17 06*",J4:J543,"*landfill*")</f>
        <v>22400</v>
      </c>
      <c r="AA9" s="325">
        <f>SUMIFS(H4:H543,D4:D543,"*17 08*",J4:J543,"*incineration*")+SUMIFS(H4:H543,D4:D543,"*17 08*",J4:J543,"*landfill*")</f>
        <v>0</v>
      </c>
      <c r="AB9" s="326">
        <f>SUMIFS(H4:H543,D4:D543,"*17 09*",J4:J543,"*incineration*")+SUMIFS(H4:H543,D4:D543,"*17 09*",J4:J543,"*landfill*")</f>
        <v>0</v>
      </c>
      <c r="AC9" s="73"/>
      <c r="AD9" s="336" t="s">
        <v>157</v>
      </c>
      <c r="AE9" s="339">
        <f>SUMIFS(H4:H543,D4:D543,"*17 01*",I4:I543,"*landfill*")+SUMIFS(H4:H543,D4:D543,"*17 02*",I4:I543,"*landfill*")+SUMIFS(H4:H543,D4:D543,"*17 03*",I4:I543,"*landfill*")+SUMIFS(H4:H543,D4:D543,"*17 04*",I4:I543,"*landfill*")+SUMIFS(H4:H543,D4:D543,"*17 06*",I4:I543,"*landfill*")+SUMIFS(H4:H543,D4:D543,"*17 08*",I4:I543,"*landfill*")+SUMIFS(H4:H543,D4:D543,"*17 09*",I4:I543,"*landfill*")+SUMIFS(H4:H543,D4:D543,"*17 01*",I4:I543,"*incineration*")+SUMIFS(H4:H543,D4:D543,"*17 02*",I4:I543,"*incineration*")+SUMIFS(H4:H543,D4:D543,"*17 03*",I4:I543,"*incineration*")+SUMIFS(H4:H543,D4:D543,"*17 04*",I4:I543,"*incineration*")+SUMIFS(H4:H543,D4:D543,"*17 06*",I4:I543,"*incineration*")+SUMIFS(H4:H543,D4:D543,"*17 08*",I4:I543,"*incineration*")+SUMIFS(H4:H543,D4:D543,"*17 09*",I4:I543,"*incineration*")</f>
        <v>22400</v>
      </c>
      <c r="AF9" s="280">
        <f t="shared" si="3"/>
        <v>1.9883318650153452E-2</v>
      </c>
      <c r="AP9">
        <v>16</v>
      </c>
      <c r="AQ9">
        <v>16</v>
      </c>
      <c r="AR9">
        <v>16</v>
      </c>
      <c r="AS9">
        <v>16</v>
      </c>
    </row>
    <row r="10" spans="1:45" ht="48.75" thickBot="1" x14ac:dyDescent="0.3">
      <c r="A10" s="101" t="s">
        <v>79</v>
      </c>
      <c r="B10" s="60" t="s">
        <v>350</v>
      </c>
      <c r="C10" s="60" t="s">
        <v>1</v>
      </c>
      <c r="D10" s="60" t="s">
        <v>28</v>
      </c>
      <c r="E10" s="60" t="s">
        <v>226</v>
      </c>
      <c r="F10" s="60" t="s">
        <v>351</v>
      </c>
      <c r="G10" s="60" t="s">
        <v>352</v>
      </c>
      <c r="H10" s="60">
        <f>35*50</f>
        <v>1750</v>
      </c>
      <c r="I10" s="60" t="s">
        <v>283</v>
      </c>
      <c r="J10" s="60" t="s">
        <v>311</v>
      </c>
      <c r="K10" s="61"/>
      <c r="L10" s="102" t="s">
        <v>315</v>
      </c>
      <c r="M10" s="1"/>
      <c r="N10" s="221" t="s">
        <v>277</v>
      </c>
      <c r="O10" s="222" t="s">
        <v>106</v>
      </c>
      <c r="P10" s="327">
        <f t="shared" si="0"/>
        <v>0</v>
      </c>
      <c r="Q10" s="327">
        <f t="shared" si="1"/>
        <v>0</v>
      </c>
      <c r="R10" s="327"/>
      <c r="S10" s="252">
        <f>SUMIFS(H4:H543,D4:D543,"*17 01*",J4:J543,"*incineration*",C4:C543,"inert")+SUMIFS(H4:H543,D4:D543,"*17 01*",J4:J543,"*landfill*",C4:C543,"inert")</f>
        <v>0</v>
      </c>
      <c r="T10" s="253">
        <f>SUMIFS(H4:H543,D4:D543,"*17 02 01*",J4:J543,"*incineration*",C4:C543,"inert")+SUMIFS(H4:H543,D4:D543,"*17 02 01*",J4:J543,"*landfill*",C4:C543,"inert")</f>
        <v>0</v>
      </c>
      <c r="U10" s="253">
        <f>SUMIFS(H4:H543,D4:D543,"*17 02 02*",J4:J543,"*incineration*",C4:C543,"inert")+SUMIFS(H4:H543,D4:D543,"*17 02 02*",J4:J543,"*landfill*",C4:C543,"inert")</f>
        <v>0</v>
      </c>
      <c r="V10" s="253">
        <f>SUMIFS(H4:H543,D4:D543,"*17 02 03*",J4:J543,"*incineration*",C4:C543,"inert")+SUMIFS(H4:H543,D4:D543,"*17 02 03*",J4:J543,"*landfill*",C4:C543,"inert")</f>
        <v>0</v>
      </c>
      <c r="W10" s="253">
        <f>SUMIFS(H4:H543,D4:D543,"*17 02 04*",J4:J543,"*incineration*",C4:C543,"inert")+SUMIFS(H4:H543,D4:D543,"*17 02 04*",J4:J543,"*landfill*",C4:C543,"inert")</f>
        <v>0</v>
      </c>
      <c r="X10" s="253">
        <f>SUMIFS(H4:H543,D4:D543,"*17 03*",J4:J543,"*incineration*",C4:C543,"inert")+SUMIFS(H4:H543,D4:D543,"*17 03*",J4:J543,"*landfill*",C4:C543,"inert")</f>
        <v>0</v>
      </c>
      <c r="Y10" s="253">
        <f>SUMIFS(H4:H543,D4:D543,"*17 04*",J4:J543,"*incineration*",C4:C543,"inert")+SUMIFS(H4:H543,D4:D543,"*17 04*",J4:J543,"*landfill*",C4:C543,"inert")</f>
        <v>0</v>
      </c>
      <c r="Z10" s="253">
        <f>SUMIFS(H4:H543,D4:D543,"*17 06*",J4:J543,"*incineration*",C4:C543,"inert")+SUMIFS(H4:H543,D4:D543,"*17 06*",J4:J543,"*landfill*",C4:C543,"inert")</f>
        <v>0</v>
      </c>
      <c r="AA10" s="253">
        <f>SUMIFS(H4:H543,D4:D543,"*17 08*",J4:J543,"*incineration*",C4:C543,"inert")+SUMIFS(H4:H543,D4:D543,"*17 08*",J4:J543,"*landfill*",C4:C543,"inert")</f>
        <v>0</v>
      </c>
      <c r="AB10" s="254">
        <f>SUMIFS(H4:H543,D4:D543,"*17 09*",J4:J543,"*incineration*",C4:C543,"inert")+SUMIFS(H4:H543,D4:D543,"*17 09*",J4:J543,"*landfill*",C4:C543,"inert")</f>
        <v>0</v>
      </c>
      <c r="AC10" s="73"/>
      <c r="AD10" s="45" t="s">
        <v>165</v>
      </c>
      <c r="AE10" s="131">
        <f>SUM(AE4:AE9)</f>
        <v>1126572.5</v>
      </c>
      <c r="AF10" s="265">
        <f>AE10/AE10</f>
        <v>1</v>
      </c>
      <c r="AP10">
        <v>20</v>
      </c>
      <c r="AQ10">
        <v>20</v>
      </c>
      <c r="AR10">
        <v>20</v>
      </c>
      <c r="AS10">
        <v>20</v>
      </c>
    </row>
    <row r="11" spans="1:45" ht="24" x14ac:dyDescent="0.25">
      <c r="A11" s="101" t="s">
        <v>76</v>
      </c>
      <c r="B11" s="60" t="s">
        <v>299</v>
      </c>
      <c r="C11" s="60" t="s">
        <v>1</v>
      </c>
      <c r="D11" s="60" t="s">
        <v>10</v>
      </c>
      <c r="E11" s="60" t="s">
        <v>236</v>
      </c>
      <c r="F11" s="60" t="s">
        <v>261</v>
      </c>
      <c r="G11" s="60" t="s">
        <v>262</v>
      </c>
      <c r="H11" s="60">
        <f>(350*14)</f>
        <v>4900</v>
      </c>
      <c r="I11" s="60" t="s">
        <v>306</v>
      </c>
      <c r="J11" s="60" t="s">
        <v>307</v>
      </c>
      <c r="K11" s="61"/>
      <c r="L11" s="102" t="s">
        <v>327</v>
      </c>
      <c r="M11" s="1"/>
      <c r="N11" s="221"/>
      <c r="O11" s="222" t="s">
        <v>252</v>
      </c>
      <c r="P11" s="328">
        <f t="shared" si="0"/>
        <v>0</v>
      </c>
      <c r="Q11" s="328">
        <f t="shared" si="1"/>
        <v>0</v>
      </c>
      <c r="R11" s="328"/>
      <c r="S11" s="252">
        <f>SUMIFS(H4:H543,D4:D543,"*17 01*",J4:J543,"*incineration*",C4:C543,"*non-haz*")+SUMIFS(H4:H543,D4:D543,"*17 01*",J4:J543,"*landfill*",C4:C543,"*non-haz*")</f>
        <v>0</v>
      </c>
      <c r="T11" s="253">
        <f>SUMIFS(H4:H543,D4:D543,"*17 02 01*",J4:J543,"*incineration*",C4:C543,"*non-haz*")+SUMIFS(H4:H543,D4:D543,"*17 02 01*",J4:J543,"*landfill*",C4:C543,"*non-haz*")</f>
        <v>0</v>
      </c>
      <c r="U11" s="253">
        <f>SUMIFS(H4:H543,D4:D543,"*17 02 02*",J4:J543,"*incineration*",C4:C543,"*non-haz*")+SUMIFS(H4:H543,D4:D543,"*17 02 02*",J4:J543,"*landfill*",C4:C543,"*non-haz*")</f>
        <v>0</v>
      </c>
      <c r="V11" s="253">
        <f>SUMIFS(H4:H543,D4:D543,"*17 02 03*",J4:J543,"*incineration*",C4:C543,"*non-haz*")+SUMIFS(H4:H543,D4:D543,"*17 02 03*",J4:J543,"*landfill*",C4:C543,"*non-haz*")</f>
        <v>0</v>
      </c>
      <c r="W11" s="253">
        <f>SUMIFS(H4:H543,D4:D543,"*17 02 04*",J4:J543,"*incineration*",C4:C543,"*non-haz*")+SUMIFS(H4:H543,D4:D543,"*17 02 04*",J4:J543,"*landfill*",C4:C543,"*non-haz*")</f>
        <v>0</v>
      </c>
      <c r="X11" s="253">
        <f>SUMIFS(H4:H543,D4:D543,"*17 03*",J4:J543,"*incineration*",C4:C543,"*non-haz*")+SUMIFS(H4:H543,D4:D543,"*17 03*",J4:J543,"*landfill*",C4:C543,"*non-haz*")</f>
        <v>0</v>
      </c>
      <c r="Y11" s="253">
        <f>SUMIFS(H4:H543,D4:D543,"*17 04*",J4:J543,"*incineration*",C4:C543,"*non-haz*")+SUMIFS(H4:H543,D4:D543,"*17 04*",J4:J543,"*landfill*",C4:C543,"*non-haz*")</f>
        <v>0</v>
      </c>
      <c r="Z11" s="253">
        <f>SUMIFS(H4:H543,D4:D543,"*17 06*",J4:J543,"*incineration*",C4:C543,"*non-haz*")+SUMIFS(H4:H543,D4:D543,"*17 06*",J4:J543,"*landfill*",C4:C543,"*non-haz*")</f>
        <v>0</v>
      </c>
      <c r="AA11" s="253">
        <f>SUMIFS(H4:H543,D4:D543,"*17 08*",J4:J543,"*incineration*",C4:C543,"*non-haz*")+SUMIFS(H4:H543,D4:D543,"*17 08*",J4:J543,"*landfill*",C4:C543,"*non-haz*")</f>
        <v>0</v>
      </c>
      <c r="AB11" s="254">
        <f>SUMIFS(H4:H543,D4:D543,"*17 09*",J4:J543,"*incineration*",C4:C543,"*non-haz*")+SUMIFS(H4:H543,D4:D543,"*17 09*",J4:J543,"*landfill*",C4:C543,"*non-haz*")</f>
        <v>0</v>
      </c>
      <c r="AC11" s="73"/>
      <c r="AP11">
        <v>24</v>
      </c>
      <c r="AQ11">
        <v>24</v>
      </c>
      <c r="AR11">
        <v>24</v>
      </c>
      <c r="AS11">
        <v>24</v>
      </c>
    </row>
    <row r="12" spans="1:45" ht="36.75" thickBot="1" x14ac:dyDescent="0.3">
      <c r="A12" s="101" t="s">
        <v>87</v>
      </c>
      <c r="B12" s="60" t="s">
        <v>91</v>
      </c>
      <c r="C12" s="60" t="s">
        <v>106</v>
      </c>
      <c r="D12" s="60" t="s">
        <v>6</v>
      </c>
      <c r="E12" s="60" t="s">
        <v>229</v>
      </c>
      <c r="F12" s="60" t="s">
        <v>121</v>
      </c>
      <c r="G12" s="60" t="s">
        <v>230</v>
      </c>
      <c r="H12" s="60">
        <f>1250*20</f>
        <v>25000</v>
      </c>
      <c r="I12" s="60" t="s">
        <v>284</v>
      </c>
      <c r="J12" s="60" t="s">
        <v>221</v>
      </c>
      <c r="K12" s="61"/>
      <c r="L12" s="102"/>
      <c r="M12" s="1"/>
      <c r="N12" s="223"/>
      <c r="O12" s="224" t="s">
        <v>0</v>
      </c>
      <c r="P12" s="328">
        <f t="shared" si="0"/>
        <v>22400</v>
      </c>
      <c r="Q12" s="328">
        <f t="shared" si="1"/>
        <v>8.9600000000000009</v>
      </c>
      <c r="R12" s="328"/>
      <c r="S12" s="329">
        <f>SUMIFS(H4:H543,D4:D543,"*17 01*",J4:J543,"*incineration*",C4:C543,"hazardous")+SUMIFS(H4:H543,D4:D543,"*17 01*",J4:J543,"*landfill*",C4:C543,"hazardous")</f>
        <v>0</v>
      </c>
      <c r="T12" s="330">
        <f>SUMIFS(H4:H543,D4:D543,"*17 02 01*",J4:J543,"*incineration*",C4:C543,"hazardous")+SUMIFS(H4:H543,D4:D543,"*17 02 01*",J4:J543,"*landfill*",C4:C543,"hazardous")</f>
        <v>0</v>
      </c>
      <c r="U12" s="330">
        <f>SUMIFS(H4:H543,D4:D543,"*17 02 02*",J4:J543,"*incineration*",C4:C543,"hazardous")+SUMIFS(H4:H543,D4:D543,"*17 02 02*",J4:J543,"*landfill*",C4:C543,"hazardous")</f>
        <v>0</v>
      </c>
      <c r="V12" s="330">
        <f>SUMIFS(H4:H543,D4:D543,"*17 02 03*",J4:J543,"*incineration*",C4:C543,"hazardous")+SUMIFS(H4:H543,D4:D543,"*17 02 03*",J4:J543,"*landfill*",C4:C543,"hazardous")</f>
        <v>0</v>
      </c>
      <c r="W12" s="330">
        <f>SUMIFS(H4:H543,D4:D543,"*17 02 04*",J4:J543,"*incineration*",C4:C543,"hazardous")+SUMIFS(H4:H543,D4:D543,"*17 02 04*",J4:J543,"*landfill*",C4:C543,"hazardous")</f>
        <v>0</v>
      </c>
      <c r="X12" s="330">
        <f>SUMIFS(H4:H543,D4:D543,"*17 03*",J4:J543,"*incineration*",C4:C543,"hazardous")+SUMIFS(H4:H543,D4:D543,"*17 03*",J4:J543,"*landfill*",C4:C543,"hazardous")</f>
        <v>0</v>
      </c>
      <c r="Y12" s="330">
        <f>SUMIFS(H4:H543,D4:D543,"*17 04*",J4:J543,"*incineration*",C4:C543,"hazardous")+SUMIFS(H4:H543,D4:D543,"*17 04*",J4:J543,"*landfill*",C4:C543,"hazardous")</f>
        <v>0</v>
      </c>
      <c r="Z12" s="330">
        <f>SUMIFS(H4:H543,D4:D543,"*17 06*",J4:J543,"*incineration*",C4:C543,"hazardous")+SUMIFS(H4:H543,D4:D543,"*17 06*",J4:J543,"*landfill*",C4:C543,"hazardous")</f>
        <v>22400</v>
      </c>
      <c r="AA12" s="330">
        <f>SUMIFS(H4:H543,D4:D543,"*17 08*",J4:J543,"*incineration*",C4:C543,"hazardous")+SUMIFS(H4:H543,D4:D543,"*17 08*",J4:J543,"*landfill*",C4:C543,"hazardous")</f>
        <v>0</v>
      </c>
      <c r="AB12" s="331">
        <f>SUMIFS(H4:H543,D4:D543,"*17 09*",J4:J543,"*incineration*",C4:C543,"hazardous")+SUMIFS(H4:H543,D4:D543,"*17 09*",J4:J543,"*landfill*",C4:C543,"hazardous")</f>
        <v>0</v>
      </c>
      <c r="AC12" s="73"/>
    </row>
    <row r="13" spans="1:45" ht="35.25" customHeight="1" thickBot="1" x14ac:dyDescent="0.3">
      <c r="A13" s="110" t="s">
        <v>87</v>
      </c>
      <c r="B13" s="8" t="s">
        <v>88</v>
      </c>
      <c r="C13" s="8" t="s">
        <v>106</v>
      </c>
      <c r="D13" s="8" t="s">
        <v>4</v>
      </c>
      <c r="E13" s="8" t="s">
        <v>237</v>
      </c>
      <c r="F13" s="8" t="s">
        <v>238</v>
      </c>
      <c r="G13" s="8" t="s">
        <v>155</v>
      </c>
      <c r="H13" s="8">
        <f>(2500*0.1)*2400</f>
        <v>600000</v>
      </c>
      <c r="I13" s="8" t="s">
        <v>308</v>
      </c>
      <c r="J13" s="8" t="s">
        <v>220</v>
      </c>
      <c r="K13" s="61"/>
      <c r="L13" s="102"/>
      <c r="M13" s="1"/>
      <c r="N13" s="435" t="s">
        <v>165</v>
      </c>
      <c r="O13" s="437"/>
      <c r="P13" s="264">
        <f>SUM(P4:P9)</f>
        <v>1126572.5</v>
      </c>
      <c r="Q13" s="264">
        <f>SUM(Q4:Q9)</f>
        <v>450.62899999999996</v>
      </c>
      <c r="R13" s="265">
        <f>P13/$P$13</f>
        <v>1</v>
      </c>
      <c r="S13" s="130">
        <f>SUM(S4:S9)</f>
        <v>1057000</v>
      </c>
      <c r="T13" s="131">
        <f>SUM(T4:T9)</f>
        <v>4900</v>
      </c>
      <c r="U13" s="131">
        <f t="shared" ref="U13:W13" si="4">SUM(U4:U9)</f>
        <v>0</v>
      </c>
      <c r="V13" s="131">
        <f t="shared" si="4"/>
        <v>0</v>
      </c>
      <c r="W13" s="131">
        <f t="shared" si="4"/>
        <v>0</v>
      </c>
      <c r="X13" s="131">
        <f>SUM(X4:X9)</f>
        <v>0</v>
      </c>
      <c r="Y13" s="131">
        <f>SUM(Y4:Y9)</f>
        <v>39022.5</v>
      </c>
      <c r="Z13" s="131">
        <f>SUM(Z4:Z9)</f>
        <v>22400</v>
      </c>
      <c r="AA13" s="131">
        <f>SUM(AA4:AA9)</f>
        <v>0</v>
      </c>
      <c r="AB13" s="132">
        <f>SUM(AB4:AB9)</f>
        <v>3250</v>
      </c>
      <c r="AC13" s="73"/>
    </row>
    <row r="14" spans="1:45" ht="23.1" customHeight="1" thickBot="1" x14ac:dyDescent="0.3">
      <c r="A14" s="110" t="s">
        <v>87</v>
      </c>
      <c r="B14" s="8" t="s">
        <v>88</v>
      </c>
      <c r="C14" s="8" t="s">
        <v>106</v>
      </c>
      <c r="D14" s="8" t="s">
        <v>4</v>
      </c>
      <c r="E14" s="8" t="s">
        <v>278</v>
      </c>
      <c r="F14" s="8" t="s">
        <v>279</v>
      </c>
      <c r="G14" s="8" t="s">
        <v>250</v>
      </c>
      <c r="H14" s="8">
        <f>140*2400</f>
        <v>336000</v>
      </c>
      <c r="I14" s="8" t="s">
        <v>308</v>
      </c>
      <c r="J14" s="8" t="s">
        <v>287</v>
      </c>
      <c r="K14" s="61"/>
      <c r="L14" s="102"/>
      <c r="M14" s="1"/>
      <c r="N14" s="420" t="s">
        <v>167</v>
      </c>
      <c r="O14" s="441"/>
      <c r="P14" s="441"/>
      <c r="Q14" s="421"/>
      <c r="R14" s="51">
        <v>2500</v>
      </c>
      <c r="S14" s="1"/>
      <c r="T14" s="1"/>
      <c r="U14" s="1"/>
      <c r="V14" s="1"/>
      <c r="W14" s="1"/>
      <c r="X14" s="1"/>
      <c r="Y14" s="1"/>
      <c r="Z14" s="1"/>
      <c r="AA14" s="1"/>
      <c r="AB14" s="1"/>
      <c r="AC14" s="42"/>
      <c r="AD14" s="1"/>
      <c r="AE14" s="1"/>
      <c r="AF14" s="27"/>
    </row>
    <row r="15" spans="1:45" ht="36.75" thickBot="1" x14ac:dyDescent="0.3">
      <c r="A15" s="136" t="s">
        <v>87</v>
      </c>
      <c r="B15" s="137" t="s">
        <v>97</v>
      </c>
      <c r="C15" s="137" t="s">
        <v>1</v>
      </c>
      <c r="D15" s="137" t="s">
        <v>20</v>
      </c>
      <c r="E15" s="137" t="s">
        <v>280</v>
      </c>
      <c r="F15" s="141" t="s">
        <v>282</v>
      </c>
      <c r="G15" s="137" t="s">
        <v>281</v>
      </c>
      <c r="H15" s="137">
        <f>390*100</f>
        <v>39000</v>
      </c>
      <c r="I15" s="137" t="s">
        <v>311</v>
      </c>
      <c r="J15" s="137" t="s">
        <v>309</v>
      </c>
      <c r="K15" s="138"/>
      <c r="L15" s="139"/>
      <c r="M15" s="1"/>
      <c r="N15" s="438" t="s">
        <v>166</v>
      </c>
      <c r="O15" s="439"/>
      <c r="P15" s="439"/>
      <c r="Q15" s="440"/>
      <c r="R15" s="52">
        <f>P13/R14</f>
        <v>450.62900000000002</v>
      </c>
      <c r="S15" s="1"/>
      <c r="T15" s="1"/>
      <c r="U15" s="1"/>
      <c r="V15" s="1"/>
      <c r="W15" s="1"/>
      <c r="X15" s="1"/>
      <c r="Y15" s="155"/>
      <c r="Z15" s="155"/>
      <c r="AA15" s="155"/>
      <c r="AB15" s="155"/>
      <c r="AC15" s="155"/>
      <c r="AD15" s="1"/>
      <c r="AE15" s="1"/>
      <c r="AF15" s="27"/>
    </row>
    <row r="16" spans="1:45" x14ac:dyDescent="0.25">
      <c r="A16" s="110"/>
      <c r="B16" s="8"/>
      <c r="C16" s="8"/>
      <c r="D16" s="8"/>
      <c r="E16" s="8"/>
      <c r="F16" s="8"/>
      <c r="G16" s="8"/>
      <c r="H16" s="8"/>
      <c r="I16" s="8"/>
      <c r="J16" s="8"/>
      <c r="K16" s="61"/>
      <c r="L16" s="102"/>
      <c r="M16" s="1"/>
      <c r="N16" s="1"/>
      <c r="O16" s="1"/>
      <c r="P16" s="1"/>
      <c r="Q16" s="1"/>
      <c r="R16" s="1"/>
      <c r="S16" s="1"/>
      <c r="T16" s="1"/>
      <c r="U16" s="1"/>
      <c r="V16" s="1"/>
      <c r="W16" s="1"/>
      <c r="X16" s="1"/>
      <c r="Y16" s="1"/>
      <c r="Z16" s="1"/>
      <c r="AA16" s="1"/>
      <c r="AB16" s="1"/>
      <c r="AC16" s="1"/>
      <c r="AD16" s="1"/>
      <c r="AE16" s="1"/>
      <c r="AF16" s="27"/>
    </row>
    <row r="17" spans="1:32" ht="30.75" customHeight="1" thickBot="1" x14ac:dyDescent="0.3">
      <c r="A17" s="110"/>
      <c r="B17" s="8"/>
      <c r="C17" s="8"/>
      <c r="D17" s="8"/>
      <c r="E17" s="8"/>
      <c r="F17" s="8"/>
      <c r="G17" s="8"/>
      <c r="H17" s="8"/>
      <c r="I17" s="8"/>
      <c r="J17" s="8"/>
      <c r="K17" s="61"/>
      <c r="L17" s="102"/>
      <c r="M17" s="1"/>
      <c r="N17" s="1"/>
      <c r="O17" s="1"/>
      <c r="P17" s="1"/>
      <c r="Q17" s="1"/>
      <c r="R17" s="114"/>
      <c r="S17" s="114"/>
      <c r="T17" s="1"/>
      <c r="U17" s="1"/>
      <c r="V17" s="1"/>
      <c r="W17" s="1"/>
      <c r="X17" s="1"/>
      <c r="Y17" s="1"/>
      <c r="Z17" s="1"/>
      <c r="AA17" s="1"/>
      <c r="AB17" s="1"/>
      <c r="AC17" s="1"/>
      <c r="AD17" s="1"/>
      <c r="AE17" s="1"/>
      <c r="AF17" s="27"/>
    </row>
    <row r="18" spans="1:32" ht="29.45" customHeight="1" thickBot="1" x14ac:dyDescent="0.3">
      <c r="A18" s="110"/>
      <c r="B18" s="8"/>
      <c r="C18" s="8"/>
      <c r="D18" s="8"/>
      <c r="E18" s="8"/>
      <c r="F18" s="8"/>
      <c r="G18" s="8"/>
      <c r="H18" s="8"/>
      <c r="I18" s="8"/>
      <c r="J18" s="8"/>
      <c r="K18" s="61"/>
      <c r="L18" s="102"/>
      <c r="M18" s="1"/>
      <c r="N18" s="435" t="s">
        <v>210</v>
      </c>
      <c r="O18" s="436"/>
      <c r="P18" s="436"/>
      <c r="Q18" s="437"/>
      <c r="R18" s="431" t="s">
        <v>212</v>
      </c>
      <c r="S18" s="433" t="s">
        <v>213</v>
      </c>
      <c r="T18" s="1"/>
      <c r="U18" s="1"/>
      <c r="V18" s="1"/>
      <c r="W18" s="1"/>
      <c r="X18" s="1"/>
      <c r="Y18" s="1"/>
      <c r="Z18" s="1"/>
      <c r="AA18" s="1"/>
      <c r="AB18" s="1"/>
      <c r="AC18" s="1"/>
      <c r="AD18" s="1"/>
      <c r="AE18" s="1"/>
      <c r="AF18" s="27"/>
    </row>
    <row r="19" spans="1:32" ht="15.75" thickBot="1" x14ac:dyDescent="0.3">
      <c r="A19" s="110"/>
      <c r="B19" s="8"/>
      <c r="C19" s="8"/>
      <c r="D19" s="8"/>
      <c r="E19" s="8"/>
      <c r="F19" s="8"/>
      <c r="G19" s="8"/>
      <c r="H19" s="8"/>
      <c r="I19" s="8"/>
      <c r="J19" s="8"/>
      <c r="K19" s="61"/>
      <c r="L19" s="102"/>
      <c r="M19" s="1"/>
      <c r="N19" s="33"/>
      <c r="O19" s="130" t="s">
        <v>162</v>
      </c>
      <c r="P19" s="131" t="s">
        <v>240</v>
      </c>
      <c r="Q19" s="132" t="s">
        <v>276</v>
      </c>
      <c r="R19" s="432"/>
      <c r="S19" s="434"/>
      <c r="T19" s="1"/>
      <c r="U19" s="1"/>
      <c r="V19" s="1"/>
      <c r="W19" s="1"/>
      <c r="X19" s="1"/>
      <c r="Y19" s="1"/>
      <c r="Z19" s="1"/>
      <c r="AA19" s="1"/>
      <c r="AB19" s="1"/>
      <c r="AC19" s="1"/>
      <c r="AD19" s="1"/>
      <c r="AE19" s="1"/>
      <c r="AF19" s="27"/>
    </row>
    <row r="20" spans="1:32" ht="16.5" customHeight="1" x14ac:dyDescent="0.25">
      <c r="A20" s="110"/>
      <c r="B20" s="8"/>
      <c r="C20" s="8"/>
      <c r="D20" s="8"/>
      <c r="E20" s="8"/>
      <c r="F20" s="8"/>
      <c r="G20" s="8"/>
      <c r="H20" s="8"/>
      <c r="I20" s="8"/>
      <c r="J20" s="8"/>
      <c r="K20" s="61"/>
      <c r="L20" s="102"/>
      <c r="M20" s="1"/>
      <c r="N20" s="43" t="s">
        <v>106</v>
      </c>
      <c r="O20" s="37">
        <f>SUMIFS(H4:H543,D4:D543,"*17 01*",C4:C543,"*Inert*")+SUMIFS(H4:H543,D4:D543,"*17 02*",C4:C543,"*Inert*")+SUMIFS(H4:H543,D4:D543,"*17 03*",C4:C543,"*Inert*")+SUMIFS(H4:H543,D4:D543,"*17 04*",C4:C543,"*Inert*")+SUMIFS(H4:H543,D4:D543,"*17 06*",C4:C543,"*Inert*")+SUMIFS(H4:H543,D4:D543,"*17 08*",C4:C543,"*Inert*")+SUMIFS(H4:H543,D4:D543,"*17 09*",C4:C543,"*Inert*")</f>
        <v>1057000</v>
      </c>
      <c r="P20" s="34">
        <f>O20/O23</f>
        <v>0.93824409880411608</v>
      </c>
      <c r="Q20" s="133">
        <f>O20/R14</f>
        <v>422.8</v>
      </c>
      <c r="R20" s="39">
        <v>10</v>
      </c>
      <c r="S20" s="46">
        <f>(O20/1000)*R20</f>
        <v>10570</v>
      </c>
      <c r="T20" s="1"/>
      <c r="U20" s="1"/>
      <c r="V20" s="1"/>
      <c r="W20" s="1"/>
      <c r="X20" s="1"/>
      <c r="Y20" s="1"/>
      <c r="Z20" s="1"/>
      <c r="AA20" s="1"/>
      <c r="AB20" s="1"/>
      <c r="AC20" s="1"/>
      <c r="AD20" s="1"/>
      <c r="AE20" s="1"/>
      <c r="AF20" s="27"/>
    </row>
    <row r="21" spans="1:32" x14ac:dyDescent="0.25">
      <c r="A21" s="110"/>
      <c r="B21" s="8"/>
      <c r="C21" s="8"/>
      <c r="D21" s="8"/>
      <c r="E21" s="8"/>
      <c r="F21" s="8"/>
      <c r="G21" s="8"/>
      <c r="H21" s="8"/>
      <c r="I21" s="8"/>
      <c r="J21" s="8"/>
      <c r="K21" s="61"/>
      <c r="L21" s="102"/>
      <c r="M21" s="1"/>
      <c r="N21" s="43" t="s">
        <v>211</v>
      </c>
      <c r="O21" s="37">
        <f>SUMIFS(H4:H543,D4:D543,"*17 01*",C4:C543,"*Non-haz*")+SUMIFS(H4:H543,D4:D543,"*17 02*",C4:C543,"*Non-haz*")+SUMIFS(H4:H543,D4:D543,"*17 03*",C4:C543,"*Non-haz*")+SUMIFS(H4:H543,D4:D543,"*17 04*",C4:C543,"*Non-haz*")+SUMIFS(H4:H543,D4:D543,"*17 06*",C4:C543,"*Non-haz*")+SUMIFS(H4:H543,D4:D543,"*17 08*",C4:C543,"*Non-haz*")+SUMIFS(H4:H543,D4:D543,"*17 09*",C4:C543,"*Non-haz*")</f>
        <v>47172.5</v>
      </c>
      <c r="P21" s="34">
        <f>O21/O23</f>
        <v>4.1872582545730522E-2</v>
      </c>
      <c r="Q21" s="133">
        <f>O21/R14</f>
        <v>18.869</v>
      </c>
      <c r="R21" s="40">
        <v>70</v>
      </c>
      <c r="S21" s="47">
        <f>(O21/1000)*R21</f>
        <v>3302.0749999999998</v>
      </c>
      <c r="T21" s="1"/>
      <c r="U21" s="1"/>
      <c r="V21" s="1"/>
      <c r="W21" s="1"/>
      <c r="X21" s="1"/>
      <c r="Y21" s="1"/>
      <c r="Z21" s="1"/>
      <c r="AA21" s="1"/>
      <c r="AB21" s="1"/>
      <c r="AC21" s="1"/>
      <c r="AD21" s="1"/>
      <c r="AE21" s="1"/>
      <c r="AF21" s="27"/>
    </row>
    <row r="22" spans="1:32" ht="16.5" customHeight="1" thickBot="1" x14ac:dyDescent="0.3">
      <c r="A22" s="110"/>
      <c r="B22" s="8"/>
      <c r="C22" s="8"/>
      <c r="D22" s="8"/>
      <c r="E22" s="8"/>
      <c r="F22" s="8"/>
      <c r="G22" s="8"/>
      <c r="H22" s="8"/>
      <c r="I22" s="8"/>
      <c r="J22" s="8"/>
      <c r="K22" s="61"/>
      <c r="L22" s="102"/>
      <c r="M22" s="1"/>
      <c r="N22" s="44" t="s">
        <v>241</v>
      </c>
      <c r="O22" s="38">
        <f>SUMIFS(H6:H103,D6:D103,"*17 01*",C6:C103,"Hazardous")+SUMIFS(H6:H103,D6:D103,"*17 02*",C6:C103,"Hazardous")+SUMIFS(H6:H103,D6:D103,"*17 03*",C6:C103,"Hazardous")+SUMIFS(H6:H103,D6:D103,"*17 04*",C6:C103,"Hazardous")+SUMIFS(H6:H103,D6:D103,"*17 06*",C6:C103,"Hazardous")+SUMIFS(H6:H103,D6:D103,"*17 08*",C6:C103,"Hazardous")+SUMIFS(H6:H103,D6:D103,"*17 09*",C6:C103,"Hazardous")</f>
        <v>22400</v>
      </c>
      <c r="P22" s="35">
        <f>O22/O23</f>
        <v>1.9883318650153452E-2</v>
      </c>
      <c r="Q22" s="134">
        <f>O22/R14</f>
        <v>8.9600000000000009</v>
      </c>
      <c r="R22" s="25">
        <v>275</v>
      </c>
      <c r="S22" s="48">
        <f>(O22/1000)*R22</f>
        <v>6160</v>
      </c>
      <c r="T22" s="1"/>
      <c r="U22" s="1"/>
      <c r="V22" s="1"/>
      <c r="W22" s="1"/>
      <c r="X22" s="1"/>
      <c r="Y22" s="1"/>
      <c r="Z22" s="1"/>
      <c r="AA22" s="1"/>
      <c r="AB22" s="1"/>
      <c r="AC22" s="1"/>
      <c r="AD22" s="1"/>
      <c r="AE22" s="1"/>
      <c r="AF22" s="27"/>
    </row>
    <row r="23" spans="1:32" ht="15.75" thickBot="1" x14ac:dyDescent="0.3">
      <c r="A23" s="110"/>
      <c r="B23" s="8"/>
      <c r="C23" s="8"/>
      <c r="D23" s="8"/>
      <c r="E23" s="8"/>
      <c r="F23" s="8"/>
      <c r="G23" s="8"/>
      <c r="H23" s="8"/>
      <c r="I23" s="8"/>
      <c r="J23" s="8"/>
      <c r="K23" s="61"/>
      <c r="L23" s="102"/>
      <c r="M23" s="1"/>
      <c r="N23" s="45" t="s">
        <v>214</v>
      </c>
      <c r="O23" s="32">
        <f>SUM(O20:O22)</f>
        <v>1126572.5</v>
      </c>
      <c r="P23" s="36">
        <f>O23/P13</f>
        <v>1</v>
      </c>
      <c r="Q23" s="135"/>
      <c r="R23" s="1"/>
      <c r="S23" s="49">
        <f>SUM(S20:S22)</f>
        <v>20032.075000000001</v>
      </c>
      <c r="T23" s="1"/>
      <c r="U23" s="1"/>
      <c r="V23" s="1"/>
      <c r="W23" s="1"/>
      <c r="X23" s="1"/>
      <c r="Y23" s="1"/>
      <c r="Z23" s="1"/>
      <c r="AA23" s="1"/>
      <c r="AB23" s="1"/>
      <c r="AC23" s="1"/>
      <c r="AD23" s="1"/>
      <c r="AE23" s="1"/>
      <c r="AF23" s="27"/>
    </row>
    <row r="24" spans="1:32" ht="15" customHeight="1" thickBot="1" x14ac:dyDescent="0.3">
      <c r="A24" s="110"/>
      <c r="B24" s="8"/>
      <c r="C24" s="8"/>
      <c r="D24" s="8"/>
      <c r="E24" s="8"/>
      <c r="F24" s="8"/>
      <c r="G24" s="8"/>
      <c r="H24" s="8"/>
      <c r="I24" s="8"/>
      <c r="J24" s="8"/>
      <c r="K24" s="61"/>
      <c r="L24" s="102"/>
      <c r="M24" s="1"/>
      <c r="N24" s="1"/>
      <c r="O24" s="1"/>
      <c r="P24" s="1"/>
      <c r="Q24" s="1"/>
      <c r="R24" s="1"/>
      <c r="S24" s="1"/>
      <c r="T24" s="1"/>
      <c r="U24" s="1"/>
      <c r="V24" s="1"/>
      <c r="W24" s="1"/>
      <c r="X24" s="1"/>
      <c r="Y24" s="1"/>
      <c r="Z24" s="1"/>
      <c r="AA24" s="1"/>
      <c r="AB24" s="1"/>
      <c r="AC24" s="1"/>
      <c r="AD24" s="1"/>
      <c r="AE24" s="1"/>
      <c r="AF24" s="27"/>
    </row>
    <row r="25" spans="1:32" ht="15.75" thickBot="1" x14ac:dyDescent="0.3">
      <c r="A25" s="110"/>
      <c r="B25" s="8"/>
      <c r="C25" s="8"/>
      <c r="D25" s="8"/>
      <c r="E25" s="8"/>
      <c r="F25" s="8"/>
      <c r="G25" s="8"/>
      <c r="H25" s="8"/>
      <c r="I25" s="8"/>
      <c r="J25" s="8"/>
      <c r="K25" s="61"/>
      <c r="L25" s="102"/>
      <c r="M25" s="1"/>
      <c r="N25" s="153" t="s">
        <v>119</v>
      </c>
      <c r="O25" s="154"/>
      <c r="P25" s="53" t="s">
        <v>162</v>
      </c>
      <c r="Q25" s="53" t="s">
        <v>276</v>
      </c>
      <c r="R25" s="116" t="s">
        <v>122</v>
      </c>
      <c r="S25" s="1"/>
      <c r="T25" s="1"/>
      <c r="U25" s="1"/>
      <c r="V25" s="1"/>
      <c r="W25" s="1"/>
      <c r="X25" s="1"/>
      <c r="Y25" s="1"/>
      <c r="Z25" s="1"/>
      <c r="AA25" s="1"/>
      <c r="AB25" s="1"/>
      <c r="AC25" s="1"/>
      <c r="AD25" s="1"/>
      <c r="AE25" s="1"/>
      <c r="AF25" s="27"/>
    </row>
    <row r="26" spans="1:32" x14ac:dyDescent="0.25">
      <c r="A26" s="110"/>
      <c r="B26" s="8"/>
      <c r="C26" s="8"/>
      <c r="D26" s="8"/>
      <c r="E26" s="8"/>
      <c r="F26" s="8"/>
      <c r="G26" s="8"/>
      <c r="H26" s="8"/>
      <c r="I26" s="8"/>
      <c r="J26" s="8"/>
      <c r="K26" s="61"/>
      <c r="L26" s="102"/>
      <c r="M26" s="1"/>
      <c r="N26" s="120" t="s">
        <v>204</v>
      </c>
      <c r="O26" s="121"/>
      <c r="P26" s="54">
        <f>SUMIFS(H4:H543,D4:D543,"*16 02*")+SUMIFS(H4:H543,D4:D543,"*20 01*")</f>
        <v>48.75</v>
      </c>
      <c r="Q26" s="142">
        <f>P26/R14</f>
        <v>1.95E-2</v>
      </c>
      <c r="R26" s="55">
        <f>P26/P26</f>
        <v>1</v>
      </c>
      <c r="S26" s="1"/>
      <c r="T26" s="1"/>
      <c r="U26" s="1"/>
      <c r="V26" s="1"/>
      <c r="W26" s="1"/>
      <c r="X26" s="1"/>
      <c r="Y26" s="1"/>
      <c r="Z26" s="1"/>
      <c r="AA26" s="1"/>
      <c r="AB26" s="1"/>
      <c r="AC26" s="1"/>
      <c r="AD26" s="1"/>
      <c r="AE26" s="1"/>
      <c r="AF26" s="27"/>
    </row>
    <row r="27" spans="1:32" ht="17.25" customHeight="1" x14ac:dyDescent="0.25">
      <c r="A27" s="110"/>
      <c r="B27" s="8"/>
      <c r="C27" s="8"/>
      <c r="D27" s="8"/>
      <c r="E27" s="8"/>
      <c r="F27" s="8"/>
      <c r="G27" s="8"/>
      <c r="H27" s="8"/>
      <c r="I27" s="8"/>
      <c r="J27" s="8"/>
      <c r="K27" s="61"/>
      <c r="L27" s="102"/>
      <c r="M27" s="1"/>
      <c r="N27" s="122" t="s">
        <v>205</v>
      </c>
      <c r="O27" s="123"/>
      <c r="P27" s="56">
        <f>SUMIFS(H4:H543,D4:D543,"*16 02*",J4:J543,"*reuse*")+SUMIFS(H4:H543,D4:D543,"*20 01*",J4:J543,"*reuse*")</f>
        <v>0</v>
      </c>
      <c r="Q27" s="143">
        <f>P27/R14</f>
        <v>0</v>
      </c>
      <c r="R27" s="57">
        <f>P27/P26</f>
        <v>0</v>
      </c>
      <c r="S27" s="1"/>
      <c r="T27" s="1"/>
      <c r="U27" s="1"/>
      <c r="V27" s="1"/>
      <c r="W27" s="1"/>
      <c r="X27" s="1"/>
      <c r="Y27" s="1"/>
      <c r="Z27" s="1"/>
      <c r="AA27" s="1"/>
      <c r="AB27" s="1"/>
      <c r="AC27" s="1"/>
      <c r="AD27" s="1"/>
      <c r="AE27" s="1"/>
      <c r="AF27" s="27"/>
    </row>
    <row r="28" spans="1:32" ht="15.75" thickBot="1" x14ac:dyDescent="0.3">
      <c r="A28" s="110"/>
      <c r="B28" s="8"/>
      <c r="C28" s="8"/>
      <c r="D28" s="8"/>
      <c r="E28" s="8"/>
      <c r="F28" s="8"/>
      <c r="G28" s="8"/>
      <c r="H28" s="8"/>
      <c r="I28" s="8"/>
      <c r="J28" s="8"/>
      <c r="K28" s="61"/>
      <c r="L28" s="102"/>
      <c r="M28" s="1"/>
      <c r="N28" s="124" t="s">
        <v>206</v>
      </c>
      <c r="O28" s="125"/>
      <c r="P28" s="58">
        <f>SUMIFS(H4:H543,D4:D543,"*16 02*",J4:J543,"WEEE facility")+SUMIFS(H4:H543,D4:D543,"*20 01*",J4:J543,"WEEE facility")</f>
        <v>0</v>
      </c>
      <c r="Q28" s="144">
        <f>P28/R14</f>
        <v>0</v>
      </c>
      <c r="R28" s="59">
        <f>P28/P26</f>
        <v>0</v>
      </c>
      <c r="S28" s="1"/>
      <c r="T28" s="1"/>
      <c r="U28" s="1"/>
      <c r="V28" s="1"/>
      <c r="W28" s="1"/>
      <c r="X28" s="1"/>
      <c r="Y28" s="1"/>
      <c r="Z28" s="1"/>
      <c r="AA28" s="1"/>
      <c r="AB28" s="1"/>
      <c r="AC28" s="1"/>
      <c r="AD28" s="1"/>
      <c r="AE28" s="1"/>
      <c r="AF28" s="27"/>
    </row>
    <row r="29" spans="1:32" ht="15.75" thickBot="1" x14ac:dyDescent="0.3">
      <c r="A29" s="110"/>
      <c r="B29" s="8"/>
      <c r="C29" s="8"/>
      <c r="D29" s="8"/>
      <c r="E29" s="8"/>
      <c r="F29" s="8"/>
      <c r="G29" s="8"/>
      <c r="H29" s="8"/>
      <c r="I29" s="8"/>
      <c r="J29" s="8"/>
      <c r="K29" s="61"/>
      <c r="L29" s="102"/>
      <c r="M29" s="1"/>
      <c r="N29" s="1"/>
      <c r="O29" s="1"/>
      <c r="P29" s="1"/>
      <c r="Q29" s="1"/>
      <c r="R29" s="1"/>
      <c r="S29" s="1"/>
      <c r="T29" s="1"/>
      <c r="U29" s="1"/>
      <c r="V29" s="1"/>
      <c r="W29" s="1"/>
      <c r="X29" s="1"/>
      <c r="Y29" s="1"/>
      <c r="Z29" s="1"/>
      <c r="AA29" s="1"/>
      <c r="AB29" s="1"/>
      <c r="AC29" s="1"/>
      <c r="AD29" s="1"/>
      <c r="AE29" s="1"/>
      <c r="AF29" s="27"/>
    </row>
    <row r="30" spans="1:32" ht="18" customHeight="1" thickBot="1" x14ac:dyDescent="0.3">
      <c r="A30" s="136"/>
      <c r="B30" s="137"/>
      <c r="C30" s="137"/>
      <c r="D30" s="137"/>
      <c r="E30" s="137"/>
      <c r="F30" s="137"/>
      <c r="G30" s="137"/>
      <c r="H30" s="137"/>
      <c r="I30" s="137"/>
      <c r="J30" s="137"/>
      <c r="K30" s="138"/>
      <c r="L30" s="139"/>
      <c r="M30" s="1"/>
      <c r="N30" s="145" t="s">
        <v>275</v>
      </c>
      <c r="O30" s="146"/>
      <c r="P30" s="65" t="s">
        <v>162</v>
      </c>
      <c r="Q30" s="65" t="s">
        <v>276</v>
      </c>
      <c r="R30" s="65" t="s">
        <v>115</v>
      </c>
      <c r="S30" s="115" t="s">
        <v>122</v>
      </c>
      <c r="T30" s="1"/>
      <c r="U30" s="1"/>
      <c r="V30" s="1"/>
      <c r="W30" s="1"/>
      <c r="X30" s="1"/>
      <c r="Y30" s="1"/>
      <c r="Z30" s="1"/>
      <c r="AA30" s="1"/>
      <c r="AB30" s="1"/>
      <c r="AC30" s="1"/>
      <c r="AD30" s="1"/>
      <c r="AE30" s="1"/>
      <c r="AF30" s="27"/>
    </row>
    <row r="31" spans="1:32" x14ac:dyDescent="0.25">
      <c r="A31" s="110"/>
      <c r="B31" s="8"/>
      <c r="C31" s="8"/>
      <c r="D31" s="8"/>
      <c r="E31" s="8"/>
      <c r="F31" s="8"/>
      <c r="G31" s="8"/>
      <c r="H31" s="8"/>
      <c r="I31" s="8"/>
      <c r="J31" s="8"/>
      <c r="K31" s="61"/>
      <c r="L31" s="102"/>
      <c r="M31" s="1"/>
      <c r="N31" s="126" t="s">
        <v>204</v>
      </c>
      <c r="O31" s="127"/>
      <c r="P31" s="118">
        <f>SUMIF(D4:D543,"*17 05*",H4:H543)</f>
        <v>49500</v>
      </c>
      <c r="Q31" s="66">
        <f>P31/R14</f>
        <v>19.8</v>
      </c>
      <c r="R31" s="66">
        <f>P31/1000</f>
        <v>49.5</v>
      </c>
      <c r="S31" s="67">
        <f>R31/R31</f>
        <v>1</v>
      </c>
      <c r="T31" s="1"/>
      <c r="U31" s="1"/>
      <c r="V31" s="1"/>
      <c r="W31" s="1"/>
      <c r="X31" s="1"/>
      <c r="Y31" s="1"/>
      <c r="Z31" s="1"/>
      <c r="AA31" s="1"/>
      <c r="AB31" s="1"/>
      <c r="AC31" s="1"/>
      <c r="AD31" s="1"/>
      <c r="AE31" s="1"/>
      <c r="AF31" s="27"/>
    </row>
    <row r="32" spans="1:32" x14ac:dyDescent="0.25">
      <c r="A32" s="110"/>
      <c r="B32" s="8"/>
      <c r="C32" s="8"/>
      <c r="D32" s="8"/>
      <c r="E32" s="8"/>
      <c r="F32" s="8"/>
      <c r="G32" s="8"/>
      <c r="H32" s="8"/>
      <c r="I32" s="8"/>
      <c r="J32" s="8"/>
      <c r="K32" s="61"/>
      <c r="L32" s="102"/>
      <c r="M32" s="1"/>
      <c r="N32" s="126" t="s">
        <v>208</v>
      </c>
      <c r="O32" s="127"/>
      <c r="P32" s="117">
        <f>SUMIFS(H4:H543,D4:D543,"*17 05*",C4:C543,"*Non-haz*")+SUMIFS(H4:H543,D4:D543,"*17 05*",C4:C543,"*inert*")</f>
        <v>0</v>
      </c>
      <c r="Q32" s="68">
        <f>P32/R14</f>
        <v>0</v>
      </c>
      <c r="R32" s="68">
        <f t="shared" ref="R32:R34" si="5">P32/1000</f>
        <v>0</v>
      </c>
      <c r="S32" s="69">
        <f>R32/R31</f>
        <v>0</v>
      </c>
      <c r="T32" s="1"/>
      <c r="U32" s="1"/>
      <c r="V32" s="1"/>
      <c r="W32" s="1"/>
      <c r="X32" s="1"/>
      <c r="Y32" s="1"/>
      <c r="Z32" s="1"/>
      <c r="AA32" s="1"/>
      <c r="AB32" s="1"/>
      <c r="AC32" s="1"/>
      <c r="AD32" s="1"/>
      <c r="AE32" s="1"/>
      <c r="AF32" s="27"/>
    </row>
    <row r="33" spans="1:32" x14ac:dyDescent="0.25">
      <c r="A33" s="110"/>
      <c r="B33" s="8"/>
      <c r="C33" s="8"/>
      <c r="D33" s="8"/>
      <c r="E33" s="8"/>
      <c r="F33" s="8"/>
      <c r="G33" s="8"/>
      <c r="H33" s="8"/>
      <c r="I33" s="8"/>
      <c r="J33" s="8"/>
      <c r="K33" s="61"/>
      <c r="L33" s="102"/>
      <c r="M33" s="1"/>
      <c r="N33" s="126" t="s">
        <v>207</v>
      </c>
      <c r="O33" s="127"/>
      <c r="P33" s="117">
        <f>SUMIFS(H4:H543,D4:D543,"*17 05*",C4:C543,"Hazardous")</f>
        <v>49500</v>
      </c>
      <c r="Q33" s="68">
        <f>P33/R14</f>
        <v>19.8</v>
      </c>
      <c r="R33" s="68">
        <f t="shared" si="5"/>
        <v>49.5</v>
      </c>
      <c r="S33" s="69">
        <f>R33/R31</f>
        <v>1</v>
      </c>
      <c r="T33" s="1"/>
      <c r="U33" s="1"/>
      <c r="V33" s="1"/>
      <c r="W33" s="1"/>
      <c r="X33" s="1"/>
      <c r="Y33" s="1"/>
      <c r="Z33" s="1"/>
      <c r="AA33" s="1"/>
      <c r="AB33" s="1"/>
      <c r="AC33" s="1"/>
      <c r="AD33" s="1"/>
      <c r="AE33" s="1"/>
      <c r="AF33" s="27"/>
    </row>
    <row r="34" spans="1:32" ht="15.75" thickBot="1" x14ac:dyDescent="0.3">
      <c r="A34" s="110"/>
      <c r="B34" s="8"/>
      <c r="C34" s="8"/>
      <c r="D34" s="8"/>
      <c r="E34" s="8"/>
      <c r="F34" s="8"/>
      <c r="G34" s="8"/>
      <c r="H34" s="8"/>
      <c r="I34" s="8"/>
      <c r="J34" s="8"/>
      <c r="K34" s="61"/>
      <c r="L34" s="102"/>
      <c r="M34" s="1"/>
      <c r="N34" s="128" t="s">
        <v>209</v>
      </c>
      <c r="O34" s="129"/>
      <c r="P34" s="113">
        <f>SUMIFS(H4:H543,D4:D543,"*17 05*",J4:J543,"*onsite*")</f>
        <v>0</v>
      </c>
      <c r="Q34" s="70">
        <f>P34/R14</f>
        <v>0</v>
      </c>
      <c r="R34" s="70">
        <f t="shared" si="5"/>
        <v>0</v>
      </c>
      <c r="S34" s="71">
        <f>R34/R31</f>
        <v>0</v>
      </c>
      <c r="T34" s="1"/>
      <c r="U34" s="1"/>
      <c r="V34" s="1"/>
      <c r="W34" s="1"/>
      <c r="X34" s="1"/>
      <c r="Y34" s="1"/>
      <c r="Z34" s="1"/>
      <c r="AA34" s="1"/>
      <c r="AB34" s="1"/>
      <c r="AC34" s="1"/>
      <c r="AD34" s="1"/>
      <c r="AE34" s="1"/>
      <c r="AF34" s="27"/>
    </row>
    <row r="35" spans="1:32" x14ac:dyDescent="0.25">
      <c r="A35" s="110"/>
      <c r="B35" s="8"/>
      <c r="C35" s="8"/>
      <c r="D35" s="8"/>
      <c r="E35" s="8"/>
      <c r="F35" s="8"/>
      <c r="G35" s="8"/>
      <c r="H35" s="8"/>
      <c r="I35" s="8"/>
      <c r="J35" s="8"/>
      <c r="K35" s="61"/>
      <c r="L35" s="102"/>
      <c r="AC35" s="3"/>
    </row>
    <row r="36" spans="1:32" x14ac:dyDescent="0.25">
      <c r="A36" s="110"/>
      <c r="B36" s="8"/>
      <c r="C36" s="8"/>
      <c r="D36" s="8"/>
      <c r="E36" s="8"/>
      <c r="F36" s="8"/>
      <c r="G36" s="8"/>
      <c r="H36" s="8"/>
      <c r="I36" s="8"/>
      <c r="J36" s="8"/>
      <c r="K36" s="61"/>
      <c r="L36" s="102"/>
      <c r="AC36" s="3"/>
    </row>
    <row r="37" spans="1:32" x14ac:dyDescent="0.25">
      <c r="A37" s="110"/>
      <c r="B37" s="8"/>
      <c r="C37" s="8"/>
      <c r="D37" s="8"/>
      <c r="E37" s="8"/>
      <c r="F37" s="8"/>
      <c r="G37" s="8"/>
      <c r="H37" s="8"/>
      <c r="I37" s="8"/>
      <c r="J37" s="8"/>
      <c r="K37" s="61"/>
      <c r="L37" s="102"/>
      <c r="AC37" s="3"/>
    </row>
    <row r="38" spans="1:32" x14ac:dyDescent="0.25">
      <c r="A38" s="110"/>
      <c r="B38" s="8"/>
      <c r="C38" s="8"/>
      <c r="D38" s="8"/>
      <c r="E38" s="8"/>
      <c r="F38" s="8"/>
      <c r="G38" s="8"/>
      <c r="H38" s="8"/>
      <c r="I38" s="8"/>
      <c r="J38" s="8"/>
      <c r="K38" s="61"/>
      <c r="L38" s="102"/>
      <c r="AC38" s="3"/>
    </row>
    <row r="39" spans="1:32" x14ac:dyDescent="0.25">
      <c r="A39" s="110"/>
      <c r="B39" s="8"/>
      <c r="C39" s="8"/>
      <c r="D39" s="8"/>
      <c r="E39" s="8"/>
      <c r="F39" s="8"/>
      <c r="G39" s="8"/>
      <c r="H39" s="8"/>
      <c r="I39" s="8"/>
      <c r="J39" s="8"/>
      <c r="K39" s="61"/>
      <c r="L39" s="102"/>
      <c r="N39" s="3" t="s">
        <v>349</v>
      </c>
      <c r="O39" s="3" t="s">
        <v>88</v>
      </c>
      <c r="P39" s="3"/>
      <c r="Q39" s="3"/>
      <c r="R39" s="3" t="s">
        <v>300</v>
      </c>
      <c r="S39" s="3" t="s">
        <v>298</v>
      </c>
      <c r="T39" s="3"/>
      <c r="U39" s="3"/>
      <c r="V39" s="3"/>
      <c r="W39" s="3"/>
      <c r="X39" s="3"/>
      <c r="Y39" s="3"/>
      <c r="Z39" s="12" t="s">
        <v>283</v>
      </c>
      <c r="AB39" s="3"/>
      <c r="AC39" s="3"/>
    </row>
    <row r="40" spans="1:32" x14ac:dyDescent="0.25">
      <c r="A40" s="110"/>
      <c r="B40" s="8"/>
      <c r="C40" s="8"/>
      <c r="D40" s="8"/>
      <c r="E40" s="8"/>
      <c r="F40" s="8"/>
      <c r="G40" s="8"/>
      <c r="H40" s="8"/>
      <c r="I40" s="8"/>
      <c r="J40" s="8"/>
      <c r="K40" s="61"/>
      <c r="L40" s="102"/>
      <c r="N40" s="10" t="s">
        <v>149</v>
      </c>
      <c r="O40" s="3" t="s">
        <v>89</v>
      </c>
      <c r="P40" s="3"/>
      <c r="Q40" s="3"/>
      <c r="R40" s="3" t="s">
        <v>106</v>
      </c>
      <c r="S40" s="3" t="s">
        <v>175</v>
      </c>
      <c r="T40" s="3"/>
      <c r="U40" s="3"/>
      <c r="V40" s="3"/>
      <c r="W40" s="3"/>
      <c r="X40" s="3"/>
      <c r="Y40" s="3"/>
      <c r="Z40" s="3" t="s">
        <v>284</v>
      </c>
      <c r="AB40" s="3"/>
      <c r="AC40" s="3"/>
    </row>
    <row r="41" spans="1:32" x14ac:dyDescent="0.25">
      <c r="A41" s="110"/>
      <c r="B41" s="8"/>
      <c r="C41" s="8"/>
      <c r="D41" s="8"/>
      <c r="E41" s="8"/>
      <c r="F41" s="8"/>
      <c r="G41" s="8"/>
      <c r="H41" s="8"/>
      <c r="I41" s="8"/>
      <c r="J41" s="8"/>
      <c r="K41" s="61"/>
      <c r="L41" s="102"/>
      <c r="N41" s="3" t="s">
        <v>79</v>
      </c>
      <c r="O41" s="3" t="s">
        <v>90</v>
      </c>
      <c r="R41" s="3" t="s">
        <v>1</v>
      </c>
      <c r="S41" s="3" t="s">
        <v>179</v>
      </c>
      <c r="T41" s="3"/>
      <c r="U41" s="3"/>
      <c r="V41" s="3"/>
      <c r="W41" s="3"/>
      <c r="X41" s="3"/>
      <c r="Y41" s="3"/>
      <c r="Z41" s="3" t="s">
        <v>306</v>
      </c>
      <c r="AB41" s="3"/>
      <c r="AC41" s="3"/>
    </row>
    <row r="42" spans="1:32" x14ac:dyDescent="0.25">
      <c r="A42" s="110"/>
      <c r="B42" s="8"/>
      <c r="C42" s="8"/>
      <c r="D42" s="8"/>
      <c r="E42" s="8"/>
      <c r="F42" s="8"/>
      <c r="G42" s="8"/>
      <c r="H42" s="8"/>
      <c r="I42" s="8"/>
      <c r="J42" s="8"/>
      <c r="K42" s="61"/>
      <c r="L42" s="102"/>
      <c r="N42" s="3" t="s">
        <v>76</v>
      </c>
      <c r="O42" s="3" t="s">
        <v>91</v>
      </c>
      <c r="R42" s="3" t="s">
        <v>0</v>
      </c>
      <c r="S42" s="3" t="s">
        <v>181</v>
      </c>
      <c r="T42" s="3"/>
      <c r="U42" s="3"/>
      <c r="V42" s="3"/>
      <c r="W42" s="3"/>
      <c r="X42" s="3"/>
      <c r="Y42" s="3"/>
      <c r="Z42" s="4" t="s">
        <v>307</v>
      </c>
      <c r="AB42" s="3"/>
      <c r="AC42" s="3"/>
    </row>
    <row r="43" spans="1:32" x14ac:dyDescent="0.25">
      <c r="A43" s="110"/>
      <c r="B43" s="8"/>
      <c r="C43" s="8"/>
      <c r="D43" s="8"/>
      <c r="E43" s="8"/>
      <c r="F43" s="8"/>
      <c r="G43" s="8"/>
      <c r="H43" s="8"/>
      <c r="I43" s="8"/>
      <c r="J43" s="8"/>
      <c r="K43" s="61"/>
      <c r="L43" s="102"/>
      <c r="N43" s="3" t="s">
        <v>87</v>
      </c>
      <c r="O43" s="3" t="s">
        <v>99</v>
      </c>
      <c r="R43" s="3"/>
      <c r="S43" s="3" t="s">
        <v>183</v>
      </c>
      <c r="T43" s="3"/>
      <c r="U43" s="3"/>
      <c r="V43" s="3"/>
      <c r="W43" s="3"/>
      <c r="X43" s="3"/>
      <c r="Y43" s="3"/>
      <c r="Z43" s="4" t="s">
        <v>223</v>
      </c>
      <c r="AB43" s="3"/>
      <c r="AC43" s="3"/>
    </row>
    <row r="44" spans="1:32" x14ac:dyDescent="0.25">
      <c r="A44" s="110"/>
      <c r="B44" s="8"/>
      <c r="C44" s="8"/>
      <c r="D44" s="8"/>
      <c r="E44" s="8"/>
      <c r="F44" s="8"/>
      <c r="G44" s="8"/>
      <c r="H44" s="8"/>
      <c r="I44" s="8"/>
      <c r="J44" s="8"/>
      <c r="K44" s="61"/>
      <c r="L44" s="102"/>
      <c r="N44" s="3"/>
      <c r="O44" s="3" t="s">
        <v>92</v>
      </c>
      <c r="R44" s="3"/>
      <c r="S44" s="3" t="s">
        <v>185</v>
      </c>
      <c r="T44" s="3"/>
      <c r="U44" s="3"/>
      <c r="V44" s="3"/>
      <c r="W44" s="3"/>
      <c r="X44" s="3"/>
      <c r="Y44" s="3"/>
      <c r="Z44" s="3" t="s">
        <v>308</v>
      </c>
      <c r="AB44" s="3"/>
      <c r="AC44" s="3"/>
    </row>
    <row r="45" spans="1:32" x14ac:dyDescent="0.25">
      <c r="A45" s="110"/>
      <c r="B45" s="8"/>
      <c r="C45" s="8"/>
      <c r="D45" s="8"/>
      <c r="E45" s="8"/>
      <c r="F45" s="8"/>
      <c r="G45" s="8"/>
      <c r="H45" s="8"/>
      <c r="I45" s="8"/>
      <c r="J45" s="8"/>
      <c r="K45" s="61"/>
      <c r="L45" s="102"/>
      <c r="N45" s="3"/>
      <c r="O45" s="3" t="s">
        <v>93</v>
      </c>
      <c r="R45" s="3"/>
      <c r="S45" s="3" t="s">
        <v>186</v>
      </c>
      <c r="T45" s="3"/>
      <c r="U45" s="3"/>
      <c r="V45" s="3"/>
      <c r="W45" s="3"/>
      <c r="X45" s="3"/>
      <c r="Y45" s="3"/>
      <c r="Z45" s="3" t="s">
        <v>309</v>
      </c>
      <c r="AB45" s="3"/>
      <c r="AC45" s="3"/>
    </row>
    <row r="46" spans="1:32" x14ac:dyDescent="0.25">
      <c r="A46" s="110"/>
      <c r="B46" s="8"/>
      <c r="C46" s="8"/>
      <c r="D46" s="8"/>
      <c r="E46" s="8"/>
      <c r="F46" s="8"/>
      <c r="G46" s="8"/>
      <c r="H46" s="8"/>
      <c r="I46" s="8"/>
      <c r="J46" s="8"/>
      <c r="K46" s="61"/>
      <c r="L46" s="102"/>
      <c r="N46" s="3"/>
      <c r="O46" s="3" t="s">
        <v>94</v>
      </c>
      <c r="R46" s="3"/>
      <c r="S46" s="3" t="s">
        <v>187</v>
      </c>
      <c r="T46" s="3"/>
      <c r="U46" s="3"/>
      <c r="V46" s="3"/>
      <c r="W46" s="3"/>
      <c r="X46" s="3"/>
      <c r="Y46" s="3"/>
      <c r="Z46" s="3" t="s">
        <v>310</v>
      </c>
      <c r="AB46" s="3"/>
      <c r="AC46" s="3"/>
    </row>
    <row r="47" spans="1:32" x14ac:dyDescent="0.25">
      <c r="A47" s="110"/>
      <c r="B47" s="8"/>
      <c r="C47" s="8"/>
      <c r="D47" s="8"/>
      <c r="E47" s="8"/>
      <c r="F47" s="8"/>
      <c r="G47" s="8"/>
      <c r="H47" s="8"/>
      <c r="I47" s="8"/>
      <c r="J47" s="8"/>
      <c r="K47" s="61"/>
      <c r="L47" s="102"/>
      <c r="N47" s="3"/>
      <c r="O47" s="3" t="s">
        <v>95</v>
      </c>
      <c r="R47" s="3"/>
      <c r="S47" s="3" t="s">
        <v>215</v>
      </c>
      <c r="T47" s="3"/>
      <c r="U47" s="3"/>
      <c r="V47" s="3"/>
      <c r="W47" s="3"/>
      <c r="X47" s="3"/>
      <c r="Y47" s="3"/>
      <c r="Z47" s="3" t="s">
        <v>311</v>
      </c>
      <c r="AB47" s="3"/>
      <c r="AC47" s="3"/>
    </row>
    <row r="48" spans="1:32" x14ac:dyDescent="0.25">
      <c r="A48" s="110"/>
      <c r="B48" s="8"/>
      <c r="C48" s="8"/>
      <c r="D48" s="8"/>
      <c r="E48" s="8"/>
      <c r="F48" s="8"/>
      <c r="G48" s="8"/>
      <c r="H48" s="8"/>
      <c r="I48" s="8"/>
      <c r="J48" s="8"/>
      <c r="K48" s="61"/>
      <c r="L48" s="102"/>
      <c r="N48" s="3"/>
      <c r="O48" s="3" t="s">
        <v>96</v>
      </c>
      <c r="R48" s="3"/>
      <c r="S48" s="3" t="s">
        <v>4</v>
      </c>
      <c r="T48" s="3"/>
      <c r="U48" s="3"/>
      <c r="V48" s="3"/>
      <c r="W48" s="3"/>
      <c r="X48" s="3"/>
      <c r="Y48" s="3"/>
      <c r="Z48" s="3" t="s">
        <v>294</v>
      </c>
      <c r="AB48" s="3"/>
      <c r="AC48" s="3"/>
    </row>
    <row r="49" spans="1:29" x14ac:dyDescent="0.25">
      <c r="A49" s="110"/>
      <c r="B49" s="8"/>
      <c r="C49" s="8"/>
      <c r="D49" s="8"/>
      <c r="E49" s="8"/>
      <c r="F49" s="8"/>
      <c r="G49" s="8"/>
      <c r="H49" s="8"/>
      <c r="I49" s="8"/>
      <c r="J49" s="8"/>
      <c r="K49" s="61"/>
      <c r="L49" s="102"/>
      <c r="N49" s="3"/>
      <c r="O49" s="3" t="s">
        <v>97</v>
      </c>
      <c r="R49" s="3"/>
      <c r="S49" s="3" t="s">
        <v>5</v>
      </c>
      <c r="T49" s="3"/>
      <c r="U49" s="3"/>
      <c r="V49" s="3"/>
      <c r="W49" s="3"/>
      <c r="X49" s="3"/>
      <c r="Y49" s="3"/>
      <c r="Z49" s="3" t="s">
        <v>295</v>
      </c>
      <c r="AB49" s="3"/>
      <c r="AC49" s="3"/>
    </row>
    <row r="50" spans="1:29" x14ac:dyDescent="0.25">
      <c r="A50" s="110"/>
      <c r="B50" s="8"/>
      <c r="C50" s="8"/>
      <c r="D50" s="8"/>
      <c r="E50" s="8"/>
      <c r="F50" s="8"/>
      <c r="G50" s="8"/>
      <c r="H50" s="8"/>
      <c r="I50" s="8"/>
      <c r="J50" s="8"/>
      <c r="K50" s="61"/>
      <c r="L50" s="102"/>
      <c r="N50" s="3"/>
      <c r="O50" s="3" t="s">
        <v>98</v>
      </c>
      <c r="R50" s="3"/>
      <c r="S50" s="3" t="s">
        <v>6</v>
      </c>
      <c r="T50" s="3"/>
      <c r="U50" s="3"/>
      <c r="V50" s="3"/>
      <c r="W50" s="3"/>
      <c r="X50" s="3"/>
      <c r="Y50" s="3"/>
      <c r="Z50" s="3" t="s">
        <v>312</v>
      </c>
      <c r="AB50" s="3"/>
      <c r="AC50" s="3"/>
    </row>
    <row r="51" spans="1:29" x14ac:dyDescent="0.25">
      <c r="A51" s="110"/>
      <c r="B51" s="8"/>
      <c r="C51" s="8"/>
      <c r="D51" s="8"/>
      <c r="E51" s="8"/>
      <c r="F51" s="8"/>
      <c r="G51" s="8"/>
      <c r="H51" s="8"/>
      <c r="I51" s="8"/>
      <c r="J51" s="8"/>
      <c r="K51" s="61"/>
      <c r="L51" s="102"/>
      <c r="N51" s="3"/>
      <c r="O51" s="3" t="s">
        <v>100</v>
      </c>
      <c r="R51" s="3"/>
      <c r="S51" s="3" t="s">
        <v>63</v>
      </c>
      <c r="T51" s="3"/>
      <c r="U51" s="3"/>
      <c r="V51" s="3"/>
      <c r="W51" s="3"/>
      <c r="X51" s="3"/>
      <c r="Y51" s="3"/>
      <c r="Z51" s="3" t="s">
        <v>287</v>
      </c>
      <c r="AB51" s="3"/>
      <c r="AC51" s="3"/>
    </row>
    <row r="52" spans="1:29" x14ac:dyDescent="0.25">
      <c r="A52" s="110"/>
      <c r="B52" s="8"/>
      <c r="C52" s="8"/>
      <c r="D52" s="8"/>
      <c r="E52" s="8"/>
      <c r="F52" s="8"/>
      <c r="G52" s="8"/>
      <c r="H52" s="8"/>
      <c r="I52" s="8"/>
      <c r="J52" s="8"/>
      <c r="K52" s="61"/>
      <c r="L52" s="102"/>
      <c r="N52" s="3"/>
      <c r="O52" s="3" t="s">
        <v>112</v>
      </c>
      <c r="R52" s="3"/>
      <c r="S52" s="3" t="s">
        <v>7</v>
      </c>
      <c r="T52" s="3"/>
      <c r="U52" s="3"/>
      <c r="V52" s="3"/>
      <c r="W52" s="3"/>
      <c r="X52" s="3"/>
      <c r="Y52" s="3"/>
      <c r="Z52" s="3" t="s">
        <v>288</v>
      </c>
      <c r="AB52" s="3"/>
      <c r="AC52" s="3"/>
    </row>
    <row r="53" spans="1:29" x14ac:dyDescent="0.25">
      <c r="A53" s="110"/>
      <c r="B53" s="8"/>
      <c r="C53" s="8"/>
      <c r="D53" s="8"/>
      <c r="E53" s="8"/>
      <c r="F53" s="8"/>
      <c r="G53" s="8"/>
      <c r="H53" s="8"/>
      <c r="I53" s="8"/>
      <c r="J53" s="8"/>
      <c r="K53" s="61"/>
      <c r="L53" s="102"/>
      <c r="N53" s="3"/>
      <c r="O53" s="3" t="s">
        <v>101</v>
      </c>
      <c r="R53" s="3"/>
      <c r="S53" s="3" t="s">
        <v>10</v>
      </c>
      <c r="T53" s="3"/>
      <c r="U53" s="3"/>
      <c r="V53" s="3"/>
      <c r="W53" s="3"/>
      <c r="X53" s="3"/>
      <c r="Y53" s="3"/>
      <c r="Z53" s="3" t="s">
        <v>286</v>
      </c>
      <c r="AB53" s="3"/>
      <c r="AC53" s="3"/>
    </row>
    <row r="54" spans="1:29" x14ac:dyDescent="0.25">
      <c r="A54" s="110"/>
      <c r="B54" s="8"/>
      <c r="C54" s="8"/>
      <c r="D54" s="8"/>
      <c r="E54" s="8"/>
      <c r="F54" s="8"/>
      <c r="G54" s="8"/>
      <c r="H54" s="8"/>
      <c r="I54" s="8"/>
      <c r="J54" s="8"/>
      <c r="K54" s="61"/>
      <c r="L54" s="102"/>
      <c r="N54" s="3"/>
      <c r="O54" s="3" t="s">
        <v>102</v>
      </c>
      <c r="R54" s="3"/>
      <c r="S54" s="3" t="s">
        <v>11</v>
      </c>
      <c r="T54" s="3"/>
      <c r="U54" s="3"/>
      <c r="V54" s="3"/>
      <c r="W54" s="3"/>
      <c r="X54" s="3"/>
      <c r="Y54" s="3"/>
      <c r="Z54" s="3" t="s">
        <v>285</v>
      </c>
      <c r="AB54" s="3"/>
      <c r="AC54" s="3"/>
    </row>
    <row r="55" spans="1:29" x14ac:dyDescent="0.25">
      <c r="A55" s="110"/>
      <c r="B55" s="8"/>
      <c r="C55" s="8"/>
      <c r="D55" s="8"/>
      <c r="E55" s="8"/>
      <c r="F55" s="8"/>
      <c r="G55" s="8"/>
      <c r="H55" s="8"/>
      <c r="I55" s="8"/>
      <c r="J55" s="8"/>
      <c r="K55" s="61"/>
      <c r="L55" s="102"/>
      <c r="N55" s="3"/>
      <c r="O55" s="3" t="s">
        <v>103</v>
      </c>
      <c r="R55" s="3"/>
      <c r="S55" s="3" t="s">
        <v>12</v>
      </c>
      <c r="T55" s="3"/>
      <c r="U55" s="3"/>
      <c r="V55" s="3"/>
      <c r="W55" s="3"/>
      <c r="X55" s="3"/>
      <c r="Y55" s="3"/>
      <c r="Z55" s="3" t="s">
        <v>107</v>
      </c>
      <c r="AB55" s="3"/>
      <c r="AC55" s="3"/>
    </row>
    <row r="56" spans="1:29" x14ac:dyDescent="0.25">
      <c r="A56" s="110"/>
      <c r="B56" s="8"/>
      <c r="C56" s="8"/>
      <c r="D56" s="8"/>
      <c r="E56" s="8"/>
      <c r="F56" s="8"/>
      <c r="G56" s="8"/>
      <c r="H56" s="8"/>
      <c r="I56" s="8"/>
      <c r="J56" s="8"/>
      <c r="K56" s="61"/>
      <c r="L56" s="102"/>
      <c r="N56" s="3"/>
      <c r="O56" s="3" t="s">
        <v>104</v>
      </c>
      <c r="R56" s="3"/>
      <c r="S56" s="3" t="s">
        <v>64</v>
      </c>
      <c r="T56" s="3"/>
      <c r="U56" s="3"/>
      <c r="V56" s="3"/>
      <c r="W56" s="3"/>
      <c r="X56" s="3"/>
      <c r="Y56" s="3"/>
      <c r="Z56" s="3" t="s">
        <v>108</v>
      </c>
      <c r="AB56" s="3"/>
      <c r="AC56" s="3"/>
    </row>
    <row r="57" spans="1:29" x14ac:dyDescent="0.25">
      <c r="A57" s="110"/>
      <c r="B57" s="8"/>
      <c r="C57" s="8"/>
      <c r="D57" s="8"/>
      <c r="E57" s="8"/>
      <c r="F57" s="8"/>
      <c r="G57" s="8"/>
      <c r="H57" s="8"/>
      <c r="I57" s="8"/>
      <c r="J57" s="8"/>
      <c r="K57" s="61"/>
      <c r="L57" s="102"/>
      <c r="N57" s="3"/>
      <c r="O57" s="3" t="s">
        <v>105</v>
      </c>
      <c r="R57" s="3"/>
      <c r="S57" s="3" t="s">
        <v>65</v>
      </c>
      <c r="T57" s="3"/>
      <c r="U57" s="3"/>
      <c r="V57" s="3"/>
      <c r="W57" s="3"/>
      <c r="X57" s="3"/>
      <c r="Y57" s="3"/>
      <c r="Z57" s="3" t="s">
        <v>110</v>
      </c>
      <c r="AB57" s="3"/>
      <c r="AC57" s="3"/>
    </row>
    <row r="58" spans="1:29" x14ac:dyDescent="0.25">
      <c r="A58" s="110"/>
      <c r="B58" s="8"/>
      <c r="C58" s="8"/>
      <c r="D58" s="8"/>
      <c r="E58" s="8"/>
      <c r="F58" s="8"/>
      <c r="G58" s="8"/>
      <c r="H58" s="8"/>
      <c r="I58" s="8"/>
      <c r="J58" s="8"/>
      <c r="K58" s="61"/>
      <c r="L58" s="102"/>
      <c r="N58" s="3"/>
      <c r="O58" s="3" t="s">
        <v>119</v>
      </c>
      <c r="R58" s="3"/>
      <c r="S58" s="3" t="s">
        <v>14</v>
      </c>
      <c r="T58" s="3"/>
      <c r="U58" s="3"/>
      <c r="V58" s="3"/>
      <c r="W58" s="3"/>
      <c r="X58" s="3"/>
      <c r="Y58" s="3"/>
      <c r="Z58" s="3" t="s">
        <v>109</v>
      </c>
      <c r="AB58" s="3"/>
      <c r="AC58" s="3"/>
    </row>
    <row r="59" spans="1:29" x14ac:dyDescent="0.25">
      <c r="A59" s="110"/>
      <c r="B59" s="8"/>
      <c r="C59" s="8"/>
      <c r="D59" s="8"/>
      <c r="E59" s="8"/>
      <c r="F59" s="8"/>
      <c r="G59" s="8"/>
      <c r="H59" s="8"/>
      <c r="I59" s="8"/>
      <c r="J59" s="8"/>
      <c r="K59" s="61"/>
      <c r="L59" s="102"/>
      <c r="N59" s="3"/>
      <c r="O59" s="3"/>
      <c r="R59" s="3"/>
      <c r="S59" s="3" t="s">
        <v>66</v>
      </c>
      <c r="T59" s="3"/>
      <c r="U59" s="3"/>
      <c r="V59" s="3"/>
      <c r="W59" s="3"/>
      <c r="X59" s="3"/>
      <c r="Y59" s="3"/>
      <c r="AB59" s="3"/>
      <c r="AC59" s="3"/>
    </row>
    <row r="60" spans="1:29" x14ac:dyDescent="0.25">
      <c r="A60" s="110"/>
      <c r="B60" s="8"/>
      <c r="C60" s="8"/>
      <c r="D60" s="8"/>
      <c r="E60" s="8"/>
      <c r="F60" s="8"/>
      <c r="G60" s="8"/>
      <c r="H60" s="8"/>
      <c r="I60" s="8"/>
      <c r="J60" s="8"/>
      <c r="K60" s="61"/>
      <c r="L60" s="102"/>
      <c r="N60" s="3"/>
      <c r="O60" s="3"/>
      <c r="R60" s="3"/>
      <c r="S60" s="3" t="s">
        <v>16</v>
      </c>
      <c r="T60" s="3"/>
      <c r="U60" s="3"/>
      <c r="V60" s="3"/>
      <c r="W60" s="3"/>
      <c r="X60" s="3"/>
      <c r="Y60" s="3"/>
      <c r="AB60" s="3"/>
      <c r="AC60" s="3"/>
    </row>
    <row r="61" spans="1:29" x14ac:dyDescent="0.25">
      <c r="A61" s="110"/>
      <c r="B61" s="8"/>
      <c r="C61" s="8"/>
      <c r="D61" s="8"/>
      <c r="E61" s="8"/>
      <c r="F61" s="8"/>
      <c r="G61" s="8"/>
      <c r="H61" s="8"/>
      <c r="I61" s="8"/>
      <c r="J61" s="8"/>
      <c r="K61" s="61"/>
      <c r="L61" s="102"/>
      <c r="N61" s="3"/>
      <c r="O61" s="3"/>
      <c r="R61" s="3"/>
      <c r="S61" s="3" t="s">
        <v>17</v>
      </c>
      <c r="T61" s="3"/>
      <c r="U61" s="3"/>
      <c r="V61" s="3"/>
      <c r="W61" s="3"/>
      <c r="X61" s="3"/>
      <c r="Y61" s="3"/>
      <c r="AB61" s="3"/>
      <c r="AC61" s="3"/>
    </row>
    <row r="62" spans="1:29" x14ac:dyDescent="0.25">
      <c r="A62" s="110"/>
      <c r="B62" s="8"/>
      <c r="C62" s="8"/>
      <c r="D62" s="8"/>
      <c r="E62" s="8"/>
      <c r="F62" s="8"/>
      <c r="G62" s="8"/>
      <c r="H62" s="8"/>
      <c r="I62" s="8"/>
      <c r="J62" s="8"/>
      <c r="K62" s="61"/>
      <c r="L62" s="102"/>
      <c r="N62" s="3"/>
      <c r="O62" s="3"/>
      <c r="R62" s="3"/>
      <c r="S62" s="3" t="s">
        <v>18</v>
      </c>
      <c r="T62" s="3"/>
      <c r="U62" s="3"/>
      <c r="V62" s="3"/>
      <c r="W62" s="3"/>
      <c r="X62" s="3"/>
      <c r="Y62" s="3"/>
      <c r="AB62" s="3"/>
      <c r="AC62" s="3"/>
    </row>
    <row r="63" spans="1:29" x14ac:dyDescent="0.25">
      <c r="A63" s="110"/>
      <c r="B63" s="8"/>
      <c r="C63" s="8"/>
      <c r="D63" s="8"/>
      <c r="E63" s="8"/>
      <c r="F63" s="8"/>
      <c r="G63" s="8"/>
      <c r="H63" s="8"/>
      <c r="I63" s="8"/>
      <c r="J63" s="8"/>
      <c r="K63" s="61"/>
      <c r="L63" s="102"/>
      <c r="N63" s="3"/>
      <c r="O63" s="3"/>
      <c r="R63" s="3"/>
      <c r="S63" s="3" t="s">
        <v>19</v>
      </c>
      <c r="T63" s="3"/>
      <c r="U63" s="3"/>
      <c r="V63" s="3"/>
      <c r="W63" s="3"/>
      <c r="X63" s="3"/>
      <c r="Y63" s="3"/>
      <c r="AB63" s="3"/>
      <c r="AC63" s="3"/>
    </row>
    <row r="64" spans="1:29" x14ac:dyDescent="0.25">
      <c r="A64" s="110"/>
      <c r="B64" s="8"/>
      <c r="C64" s="8"/>
      <c r="D64" s="8"/>
      <c r="E64" s="8"/>
      <c r="F64" s="8"/>
      <c r="G64" s="8"/>
      <c r="H64" s="8"/>
      <c r="I64" s="8"/>
      <c r="J64" s="8"/>
      <c r="K64" s="61"/>
      <c r="L64" s="102"/>
      <c r="N64" s="3"/>
      <c r="O64" s="3"/>
      <c r="R64" s="3"/>
      <c r="S64" s="3" t="s">
        <v>20</v>
      </c>
      <c r="T64" s="3"/>
      <c r="U64" s="3"/>
      <c r="V64" s="3"/>
      <c r="W64" s="3"/>
      <c r="X64" s="3"/>
      <c r="Y64" s="3"/>
      <c r="AB64" s="3"/>
      <c r="AC64" s="3"/>
    </row>
    <row r="65" spans="1:29" x14ac:dyDescent="0.25">
      <c r="A65" s="110"/>
      <c r="B65" s="8"/>
      <c r="C65" s="8"/>
      <c r="D65" s="8"/>
      <c r="E65" s="8"/>
      <c r="F65" s="8"/>
      <c r="G65" s="8"/>
      <c r="H65" s="8"/>
      <c r="I65" s="8"/>
      <c r="J65" s="8"/>
      <c r="K65" s="61"/>
      <c r="L65" s="102"/>
      <c r="N65" s="3"/>
      <c r="O65" s="3"/>
      <c r="R65" s="3"/>
      <c r="S65" s="3" t="s">
        <v>21</v>
      </c>
      <c r="T65" s="3"/>
      <c r="U65" s="3"/>
      <c r="V65" s="3"/>
      <c r="W65" s="3"/>
      <c r="X65" s="3"/>
      <c r="Y65" s="3"/>
      <c r="AB65" s="3"/>
      <c r="AC65" s="3"/>
    </row>
    <row r="66" spans="1:29" x14ac:dyDescent="0.25">
      <c r="A66" s="110"/>
      <c r="B66" s="8"/>
      <c r="C66" s="8"/>
      <c r="D66" s="8"/>
      <c r="E66" s="8"/>
      <c r="F66" s="8"/>
      <c r="G66" s="8"/>
      <c r="H66" s="8"/>
      <c r="I66" s="8"/>
      <c r="J66" s="8"/>
      <c r="K66" s="61"/>
      <c r="L66" s="102"/>
      <c r="N66" s="3"/>
      <c r="O66" s="3"/>
      <c r="R66" s="3"/>
      <c r="S66" s="3" t="s">
        <v>22</v>
      </c>
      <c r="T66" s="3"/>
      <c r="U66" s="3"/>
      <c r="V66" s="3"/>
      <c r="W66" s="3"/>
      <c r="X66" s="3"/>
      <c r="Y66" s="3"/>
      <c r="Z66" s="3"/>
      <c r="AB66" s="3"/>
      <c r="AC66" s="3"/>
    </row>
    <row r="67" spans="1:29" x14ac:dyDescent="0.25">
      <c r="A67" s="110"/>
      <c r="B67" s="8"/>
      <c r="C67" s="8"/>
      <c r="D67" s="8"/>
      <c r="E67" s="8"/>
      <c r="F67" s="8"/>
      <c r="G67" s="8"/>
      <c r="H67" s="8"/>
      <c r="I67" s="8"/>
      <c r="J67" s="8"/>
      <c r="K67" s="61"/>
      <c r="L67" s="102"/>
      <c r="N67" s="3"/>
      <c r="O67" s="3"/>
      <c r="R67" s="3"/>
      <c r="S67" s="3" t="s">
        <v>67</v>
      </c>
      <c r="T67" s="3"/>
      <c r="U67" s="3"/>
      <c r="V67" s="3"/>
      <c r="W67" s="3"/>
      <c r="X67" s="3"/>
      <c r="Y67" s="3"/>
      <c r="Z67" s="3"/>
      <c r="AB67" s="3"/>
      <c r="AC67" s="3"/>
    </row>
    <row r="68" spans="1:29" x14ac:dyDescent="0.25">
      <c r="A68" s="110"/>
      <c r="B68" s="8"/>
      <c r="C68" s="8"/>
      <c r="D68" s="8"/>
      <c r="E68" s="8"/>
      <c r="F68" s="8"/>
      <c r="G68" s="8"/>
      <c r="H68" s="8"/>
      <c r="I68" s="8"/>
      <c r="J68" s="8"/>
      <c r="K68" s="61"/>
      <c r="L68" s="102"/>
      <c r="N68" s="3"/>
      <c r="O68" s="3"/>
      <c r="R68" s="3"/>
      <c r="S68" s="3" t="s">
        <v>68</v>
      </c>
      <c r="T68" s="3"/>
      <c r="U68" s="3"/>
      <c r="V68" s="3"/>
      <c r="W68" s="3"/>
      <c r="X68" s="3"/>
      <c r="Y68" s="3"/>
      <c r="Z68" s="3"/>
      <c r="AB68" s="3"/>
      <c r="AC68" s="3"/>
    </row>
    <row r="69" spans="1:29" x14ac:dyDescent="0.25">
      <c r="A69" s="110"/>
      <c r="B69" s="8"/>
      <c r="C69" s="8"/>
      <c r="D69" s="8"/>
      <c r="E69" s="8"/>
      <c r="F69" s="8"/>
      <c r="G69" s="8"/>
      <c r="H69" s="8"/>
      <c r="I69" s="8"/>
      <c r="J69" s="8"/>
      <c r="K69" s="61"/>
      <c r="L69" s="102"/>
      <c r="N69" s="3"/>
      <c r="O69" s="3"/>
      <c r="R69" s="3"/>
      <c r="S69" s="3" t="s">
        <v>23</v>
      </c>
      <c r="T69" s="3"/>
      <c r="U69" s="3"/>
      <c r="V69" s="3"/>
      <c r="W69" s="3"/>
      <c r="X69" s="3"/>
      <c r="Y69" s="3"/>
      <c r="Z69" s="3"/>
      <c r="AB69" s="3"/>
      <c r="AC69" s="3"/>
    </row>
    <row r="70" spans="1:29" x14ac:dyDescent="0.25">
      <c r="A70" s="110"/>
      <c r="B70" s="8"/>
      <c r="C70" s="8"/>
      <c r="D70" s="8"/>
      <c r="E70" s="8"/>
      <c r="F70" s="8"/>
      <c r="G70" s="8"/>
      <c r="H70" s="8"/>
      <c r="I70" s="8"/>
      <c r="J70" s="8"/>
      <c r="K70" s="61"/>
      <c r="L70" s="102"/>
      <c r="N70" s="3"/>
      <c r="O70" s="3"/>
      <c r="R70" s="3"/>
      <c r="S70" s="3" t="s">
        <v>52</v>
      </c>
      <c r="T70" s="3"/>
      <c r="U70" s="3"/>
      <c r="V70" s="3"/>
      <c r="W70" s="3"/>
      <c r="X70" s="3"/>
      <c r="Y70" s="3"/>
      <c r="Z70" s="3"/>
      <c r="AB70" s="3"/>
      <c r="AC70" s="3"/>
    </row>
    <row r="71" spans="1:29" x14ac:dyDescent="0.25">
      <c r="A71" s="110"/>
      <c r="B71" s="8"/>
      <c r="C71" s="8"/>
      <c r="D71" s="8"/>
      <c r="E71" s="8"/>
      <c r="F71" s="8"/>
      <c r="G71" s="8"/>
      <c r="H71" s="8"/>
      <c r="I71" s="8"/>
      <c r="J71" s="8"/>
      <c r="K71" s="61"/>
      <c r="L71" s="102"/>
      <c r="N71" s="3"/>
      <c r="O71" s="3"/>
      <c r="R71" s="3"/>
      <c r="S71" s="3" t="s">
        <v>51</v>
      </c>
      <c r="T71" s="3"/>
      <c r="U71" s="3"/>
      <c r="V71" s="3"/>
      <c r="W71" s="3"/>
      <c r="X71" s="3"/>
      <c r="Y71" s="3"/>
      <c r="Z71" s="3"/>
      <c r="AB71" s="3"/>
      <c r="AC71" s="3"/>
    </row>
    <row r="72" spans="1:29" x14ac:dyDescent="0.25">
      <c r="A72" s="110"/>
      <c r="B72" s="8"/>
      <c r="C72" s="8"/>
      <c r="D72" s="8"/>
      <c r="E72" s="8"/>
      <c r="F72" s="8"/>
      <c r="G72" s="8"/>
      <c r="H72" s="8"/>
      <c r="I72" s="8"/>
      <c r="J72" s="8"/>
      <c r="K72" s="61"/>
      <c r="L72" s="102"/>
      <c r="N72" s="3"/>
      <c r="O72" s="3"/>
      <c r="R72" s="3"/>
      <c r="S72" s="3" t="s">
        <v>53</v>
      </c>
      <c r="T72" s="3"/>
      <c r="U72" s="3"/>
      <c r="V72" s="3"/>
      <c r="W72" s="3"/>
      <c r="X72" s="3"/>
      <c r="Y72" s="3"/>
      <c r="Z72" s="3"/>
      <c r="AB72" s="3"/>
      <c r="AC72" s="3"/>
    </row>
    <row r="73" spans="1:29" x14ac:dyDescent="0.25">
      <c r="A73" s="110"/>
      <c r="B73" s="8"/>
      <c r="C73" s="8"/>
      <c r="D73" s="8"/>
      <c r="E73" s="8"/>
      <c r="F73" s="8"/>
      <c r="G73" s="8"/>
      <c r="H73" s="8"/>
      <c r="I73" s="8"/>
      <c r="J73" s="8"/>
      <c r="K73" s="61"/>
      <c r="L73" s="102"/>
      <c r="N73" s="3"/>
      <c r="O73" s="3"/>
      <c r="R73" s="3"/>
      <c r="S73" s="3" t="s">
        <v>54</v>
      </c>
      <c r="T73" s="3"/>
      <c r="U73" s="3"/>
      <c r="V73" s="3"/>
      <c r="W73" s="3"/>
      <c r="X73" s="3"/>
      <c r="Y73" s="3"/>
      <c r="Z73" s="3"/>
      <c r="AB73" s="3"/>
      <c r="AC73" s="3"/>
    </row>
    <row r="74" spans="1:29" x14ac:dyDescent="0.25">
      <c r="A74" s="110"/>
      <c r="B74" s="8"/>
      <c r="C74" s="8"/>
      <c r="D74" s="8"/>
      <c r="E74" s="8"/>
      <c r="F74" s="8"/>
      <c r="G74" s="8"/>
      <c r="H74" s="8"/>
      <c r="I74" s="8"/>
      <c r="J74" s="8"/>
      <c r="K74" s="61"/>
      <c r="L74" s="102"/>
      <c r="N74" s="3"/>
      <c r="O74" s="3"/>
      <c r="R74" s="3"/>
      <c r="S74" s="3" t="s">
        <v>55</v>
      </c>
      <c r="T74" s="3"/>
      <c r="U74" s="3"/>
      <c r="V74" s="3"/>
      <c r="W74" s="3"/>
      <c r="X74" s="3"/>
      <c r="Y74" s="3"/>
      <c r="Z74" s="3"/>
      <c r="AB74" s="3"/>
      <c r="AC74" s="3"/>
    </row>
    <row r="75" spans="1:29" x14ac:dyDescent="0.25">
      <c r="A75" s="110"/>
      <c r="B75" s="8"/>
      <c r="C75" s="8"/>
      <c r="D75" s="8"/>
      <c r="E75" s="8"/>
      <c r="F75" s="8"/>
      <c r="G75" s="8"/>
      <c r="H75" s="8"/>
      <c r="I75" s="8"/>
      <c r="J75" s="8"/>
      <c r="K75" s="61"/>
      <c r="L75" s="102"/>
      <c r="N75" s="3"/>
      <c r="O75" s="3"/>
      <c r="R75" s="3"/>
      <c r="S75" s="3" t="s">
        <v>56</v>
      </c>
      <c r="T75" s="3"/>
      <c r="U75" s="3"/>
      <c r="V75" s="3"/>
      <c r="W75" s="3"/>
      <c r="X75" s="3"/>
      <c r="Y75" s="3"/>
      <c r="Z75" s="3"/>
      <c r="AA75" s="3"/>
      <c r="AB75" s="3"/>
      <c r="AC75" s="3"/>
    </row>
    <row r="76" spans="1:29" x14ac:dyDescent="0.25">
      <c r="A76" s="110"/>
      <c r="B76" s="8"/>
      <c r="C76" s="8"/>
      <c r="D76" s="8"/>
      <c r="E76" s="8"/>
      <c r="F76" s="8"/>
      <c r="G76" s="8"/>
      <c r="H76" s="8"/>
      <c r="I76" s="8"/>
      <c r="J76" s="8"/>
      <c r="K76" s="61"/>
      <c r="L76" s="102"/>
      <c r="N76" s="3"/>
      <c r="O76" s="3"/>
      <c r="R76" s="3"/>
      <c r="S76" s="3" t="s">
        <v>69</v>
      </c>
      <c r="T76" s="3"/>
      <c r="U76" s="3"/>
      <c r="V76" s="3"/>
      <c r="W76" s="3"/>
      <c r="X76" s="3"/>
      <c r="Y76" s="3"/>
      <c r="Z76" s="3"/>
      <c r="AA76" s="3"/>
      <c r="AB76" s="3"/>
      <c r="AC76" s="3"/>
    </row>
    <row r="77" spans="1:29" x14ac:dyDescent="0.25">
      <c r="A77" s="110"/>
      <c r="B77" s="8"/>
      <c r="C77" s="8"/>
      <c r="D77" s="8"/>
      <c r="E77" s="8"/>
      <c r="F77" s="8"/>
      <c r="G77" s="8"/>
      <c r="H77" s="8"/>
      <c r="I77" s="8"/>
      <c r="J77" s="8"/>
      <c r="K77" s="61"/>
      <c r="L77" s="102"/>
      <c r="S77" s="3" t="s">
        <v>70</v>
      </c>
      <c r="T77" s="3"/>
      <c r="U77" s="3"/>
      <c r="V77" s="3"/>
      <c r="W77" s="3"/>
      <c r="X77" s="3"/>
      <c r="Y77" s="3"/>
      <c r="Z77" s="3"/>
      <c r="AA77" s="3"/>
      <c r="AB77" s="3"/>
      <c r="AC77" s="3"/>
    </row>
    <row r="78" spans="1:29" x14ac:dyDescent="0.25">
      <c r="A78" s="110"/>
      <c r="B78" s="8"/>
      <c r="C78" s="8"/>
      <c r="D78" s="8"/>
      <c r="E78" s="8"/>
      <c r="F78" s="8"/>
      <c r="G78" s="8"/>
      <c r="H78" s="8"/>
      <c r="I78" s="8"/>
      <c r="J78" s="8"/>
      <c r="K78" s="61"/>
      <c r="L78" s="102"/>
      <c r="S78" s="3" t="s">
        <v>24</v>
      </c>
      <c r="T78" s="3"/>
      <c r="U78" s="3"/>
      <c r="V78" s="3"/>
      <c r="W78" s="3"/>
      <c r="X78" s="3"/>
      <c r="Y78" s="3"/>
      <c r="Z78" s="3"/>
      <c r="AA78" s="3"/>
      <c r="AB78" s="3"/>
      <c r="AC78" s="3"/>
    </row>
    <row r="79" spans="1:29" x14ac:dyDescent="0.25">
      <c r="A79" s="110"/>
      <c r="B79" s="8"/>
      <c r="C79" s="8"/>
      <c r="D79" s="8"/>
      <c r="E79" s="8"/>
      <c r="F79" s="8"/>
      <c r="G79" s="8"/>
      <c r="H79" s="8"/>
      <c r="I79" s="8"/>
      <c r="J79" s="8"/>
      <c r="K79" s="61"/>
      <c r="L79" s="102"/>
      <c r="S79" s="3" t="s">
        <v>71</v>
      </c>
      <c r="T79" s="3"/>
      <c r="U79" s="3"/>
      <c r="V79" s="3"/>
      <c r="W79" s="3"/>
      <c r="X79" s="3"/>
      <c r="Y79" s="3"/>
      <c r="Z79" s="3"/>
      <c r="AA79" s="3"/>
      <c r="AB79" s="3"/>
      <c r="AC79" s="3"/>
    </row>
    <row r="80" spans="1:29" x14ac:dyDescent="0.25">
      <c r="A80" s="110"/>
      <c r="B80" s="8"/>
      <c r="C80" s="8"/>
      <c r="D80" s="8"/>
      <c r="E80" s="8"/>
      <c r="F80" s="8"/>
      <c r="G80" s="8"/>
      <c r="H80" s="8"/>
      <c r="I80" s="8"/>
      <c r="J80" s="8"/>
      <c r="K80" s="61"/>
      <c r="L80" s="102"/>
      <c r="S80" s="3" t="s">
        <v>72</v>
      </c>
      <c r="T80" s="3"/>
      <c r="U80" s="3"/>
      <c r="V80" s="3"/>
      <c r="W80" s="3"/>
      <c r="X80" s="3"/>
      <c r="Y80" s="3"/>
      <c r="Z80" s="3"/>
      <c r="AA80" s="3"/>
      <c r="AB80" s="3"/>
      <c r="AC80" s="3"/>
    </row>
    <row r="81" spans="1:29" x14ac:dyDescent="0.25">
      <c r="A81" s="110"/>
      <c r="B81" s="8"/>
      <c r="C81" s="8"/>
      <c r="D81" s="8"/>
      <c r="E81" s="8"/>
      <c r="F81" s="8"/>
      <c r="G81" s="8"/>
      <c r="H81" s="8"/>
      <c r="I81" s="8"/>
      <c r="J81" s="8"/>
      <c r="K81" s="61"/>
      <c r="L81" s="102"/>
      <c r="S81" s="3" t="s">
        <v>26</v>
      </c>
      <c r="T81" s="3"/>
      <c r="U81" s="3"/>
      <c r="V81" s="3"/>
      <c r="W81" s="3"/>
      <c r="X81" s="3"/>
      <c r="Y81" s="3"/>
      <c r="Z81" s="3"/>
      <c r="AA81" s="3"/>
      <c r="AB81" s="3"/>
      <c r="AC81" s="3"/>
    </row>
    <row r="82" spans="1:29" x14ac:dyDescent="0.25">
      <c r="A82" s="110"/>
      <c r="B82" s="8"/>
      <c r="C82" s="8"/>
      <c r="D82" s="8"/>
      <c r="E82" s="8"/>
      <c r="F82" s="8"/>
      <c r="G82" s="8"/>
      <c r="H82" s="8"/>
      <c r="I82" s="8"/>
      <c r="J82" s="8"/>
      <c r="K82" s="61"/>
      <c r="L82" s="102"/>
      <c r="S82" s="3" t="s">
        <v>73</v>
      </c>
      <c r="T82" s="3"/>
      <c r="U82" s="3"/>
      <c r="V82" s="3"/>
      <c r="W82" s="3"/>
      <c r="X82" s="3"/>
      <c r="Y82" s="3"/>
      <c r="Z82" s="3"/>
      <c r="AA82" s="3"/>
      <c r="AB82" s="3"/>
      <c r="AC82" s="3"/>
    </row>
    <row r="83" spans="1:29" x14ac:dyDescent="0.25">
      <c r="A83" s="110"/>
      <c r="B83" s="8"/>
      <c r="C83" s="8"/>
      <c r="D83" s="8"/>
      <c r="E83" s="8"/>
      <c r="F83" s="8"/>
      <c r="G83" s="8"/>
      <c r="H83" s="8"/>
      <c r="I83" s="8"/>
      <c r="J83" s="8"/>
      <c r="K83" s="61"/>
      <c r="L83" s="102"/>
      <c r="S83" s="3" t="s">
        <v>74</v>
      </c>
      <c r="T83" s="3"/>
      <c r="U83" s="3"/>
      <c r="V83" s="3"/>
      <c r="W83" s="3"/>
      <c r="X83" s="3"/>
      <c r="Y83" s="3"/>
      <c r="Z83" s="3"/>
      <c r="AA83" s="3"/>
      <c r="AB83" s="3"/>
      <c r="AC83" s="3"/>
    </row>
    <row r="84" spans="1:29" x14ac:dyDescent="0.25">
      <c r="A84" s="110"/>
      <c r="B84" s="8"/>
      <c r="C84" s="8"/>
      <c r="D84" s="8"/>
      <c r="E84" s="8"/>
      <c r="F84" s="8"/>
      <c r="G84" s="8"/>
      <c r="H84" s="8"/>
      <c r="I84" s="8"/>
      <c r="J84" s="8"/>
      <c r="K84" s="61"/>
      <c r="L84" s="102"/>
      <c r="S84" s="3" t="s">
        <v>75</v>
      </c>
      <c r="T84" s="3"/>
      <c r="U84" s="3"/>
      <c r="V84" s="3"/>
      <c r="W84" s="3"/>
      <c r="X84" s="3"/>
      <c r="Y84" s="3"/>
      <c r="Z84" s="3"/>
      <c r="AA84" s="3"/>
      <c r="AB84" s="3"/>
      <c r="AC84" s="3"/>
    </row>
    <row r="85" spans="1:29" x14ac:dyDescent="0.25">
      <c r="A85" s="110"/>
      <c r="B85" s="8"/>
      <c r="C85" s="8"/>
      <c r="D85" s="8"/>
      <c r="E85" s="8"/>
      <c r="F85" s="8"/>
      <c r="G85" s="8"/>
      <c r="H85" s="8"/>
      <c r="I85" s="8"/>
      <c r="J85" s="8"/>
      <c r="K85" s="61"/>
      <c r="L85" s="102"/>
      <c r="S85" s="3" t="s">
        <v>28</v>
      </c>
      <c r="T85" s="3"/>
      <c r="U85" s="3"/>
      <c r="V85" s="3"/>
      <c r="W85" s="3"/>
      <c r="X85" s="3"/>
      <c r="Y85" s="3"/>
      <c r="Z85" s="3"/>
      <c r="AA85" s="3"/>
      <c r="AB85" s="3"/>
      <c r="AC85" s="3"/>
    </row>
    <row r="86" spans="1:29" x14ac:dyDescent="0.25">
      <c r="A86" s="110"/>
      <c r="B86" s="8"/>
      <c r="C86" s="8"/>
      <c r="D86" s="8"/>
      <c r="E86" s="8"/>
      <c r="F86" s="8"/>
      <c r="G86" s="8"/>
      <c r="H86" s="8"/>
      <c r="I86" s="8"/>
      <c r="J86" s="8"/>
      <c r="K86" s="61"/>
      <c r="L86" s="102"/>
      <c r="S86" s="3" t="s">
        <v>216</v>
      </c>
      <c r="T86" s="3"/>
      <c r="U86" s="3"/>
      <c r="V86" s="3"/>
      <c r="W86" s="3"/>
      <c r="X86" s="3"/>
      <c r="Y86" s="3"/>
      <c r="Z86" s="3"/>
      <c r="AA86" s="3"/>
      <c r="AB86" s="3"/>
      <c r="AC86" s="3"/>
    </row>
    <row r="87" spans="1:29" x14ac:dyDescent="0.25">
      <c r="A87" s="110"/>
      <c r="B87" s="8"/>
      <c r="C87" s="8"/>
      <c r="D87" s="8"/>
      <c r="E87" s="8"/>
      <c r="F87" s="8"/>
      <c r="G87" s="8"/>
      <c r="H87" s="8"/>
      <c r="I87" s="8"/>
      <c r="J87" s="8"/>
      <c r="K87" s="61"/>
      <c r="L87" s="102"/>
      <c r="S87" s="3" t="s">
        <v>197</v>
      </c>
      <c r="T87" s="3"/>
      <c r="U87" s="3"/>
      <c r="V87" s="3"/>
      <c r="W87" s="3"/>
      <c r="X87" s="3"/>
      <c r="Y87" s="3"/>
      <c r="Z87" s="3"/>
      <c r="AA87" s="3"/>
      <c r="AB87" s="3"/>
      <c r="AC87" s="3"/>
    </row>
    <row r="88" spans="1:29" x14ac:dyDescent="0.25">
      <c r="A88" s="110"/>
      <c r="B88" s="8"/>
      <c r="C88" s="8"/>
      <c r="D88" s="8"/>
      <c r="E88" s="8"/>
      <c r="F88" s="8"/>
      <c r="G88" s="8"/>
      <c r="H88" s="8"/>
      <c r="I88" s="8"/>
      <c r="J88" s="8"/>
      <c r="K88" s="61"/>
      <c r="L88" s="102"/>
      <c r="S88" s="3" t="s">
        <v>198</v>
      </c>
      <c r="T88" s="3"/>
      <c r="U88" s="3"/>
      <c r="V88" s="3"/>
      <c r="W88" s="3"/>
      <c r="X88" s="3"/>
      <c r="Y88" s="3"/>
      <c r="Z88" s="3"/>
      <c r="AA88" s="3"/>
      <c r="AB88" s="3"/>
      <c r="AC88" s="3"/>
    </row>
    <row r="89" spans="1:29" x14ac:dyDescent="0.25">
      <c r="A89" s="110"/>
      <c r="B89" s="8"/>
      <c r="C89" s="8"/>
      <c r="D89" s="8"/>
      <c r="E89" s="8"/>
      <c r="F89" s="8"/>
      <c r="G89" s="8"/>
      <c r="H89" s="8"/>
      <c r="I89" s="8"/>
      <c r="J89" s="8"/>
      <c r="K89" s="61"/>
      <c r="L89" s="102"/>
      <c r="R89" s="3"/>
      <c r="S89" s="3" t="s">
        <v>199</v>
      </c>
      <c r="T89" s="3"/>
      <c r="U89" s="3"/>
      <c r="V89" s="3"/>
      <c r="W89" s="3"/>
      <c r="X89" s="3"/>
      <c r="Y89" s="3"/>
      <c r="Z89" s="3"/>
      <c r="AA89" s="3"/>
      <c r="AB89" s="3"/>
      <c r="AC89" s="3"/>
    </row>
    <row r="90" spans="1:29" x14ac:dyDescent="0.25">
      <c r="A90" s="110"/>
      <c r="B90" s="8"/>
      <c r="C90" s="8"/>
      <c r="D90" s="8"/>
      <c r="E90" s="8"/>
      <c r="F90" s="8"/>
      <c r="G90" s="8"/>
      <c r="H90" s="8"/>
      <c r="I90" s="8"/>
      <c r="J90" s="8"/>
      <c r="K90" s="61"/>
      <c r="L90" s="102"/>
      <c r="R90" s="3"/>
      <c r="S90" s="3"/>
      <c r="T90" s="3"/>
      <c r="U90" s="3"/>
      <c r="V90" s="3"/>
      <c r="W90" s="3"/>
      <c r="X90" s="3"/>
      <c r="Y90" s="3"/>
      <c r="Z90" s="3"/>
      <c r="AA90" s="3"/>
      <c r="AB90" s="3"/>
      <c r="AC90" s="3"/>
    </row>
    <row r="91" spans="1:29" x14ac:dyDescent="0.25">
      <c r="A91" s="110"/>
      <c r="B91" s="8"/>
      <c r="C91" s="8"/>
      <c r="D91" s="8"/>
      <c r="E91" s="8"/>
      <c r="F91" s="8"/>
      <c r="G91" s="8"/>
      <c r="H91" s="8"/>
      <c r="I91" s="8"/>
      <c r="J91" s="8"/>
      <c r="K91" s="61"/>
      <c r="L91" s="102"/>
      <c r="R91" s="3"/>
      <c r="S91" s="3"/>
      <c r="T91" s="3"/>
      <c r="U91" s="3"/>
      <c r="V91" s="3"/>
      <c r="W91" s="3"/>
      <c r="X91" s="3"/>
      <c r="Y91" s="3"/>
      <c r="Z91" s="3"/>
      <c r="AA91" s="3"/>
      <c r="AB91" s="3"/>
      <c r="AC91" s="3"/>
    </row>
    <row r="92" spans="1:29" x14ac:dyDescent="0.25">
      <c r="A92" s="110"/>
      <c r="B92" s="8"/>
      <c r="C92" s="8"/>
      <c r="D92" s="8"/>
      <c r="E92" s="8"/>
      <c r="F92" s="8"/>
      <c r="G92" s="8"/>
      <c r="H92" s="8"/>
      <c r="I92" s="8"/>
      <c r="J92" s="8"/>
      <c r="K92" s="61"/>
      <c r="L92" s="102"/>
      <c r="R92" s="3"/>
      <c r="S92" s="3"/>
      <c r="T92" s="3"/>
      <c r="U92" s="3"/>
      <c r="V92" s="3"/>
      <c r="W92" s="3"/>
      <c r="X92" s="3"/>
      <c r="Y92" s="3"/>
      <c r="Z92" s="3"/>
      <c r="AA92" s="3"/>
      <c r="AB92" s="3"/>
      <c r="AC92" s="3"/>
    </row>
    <row r="93" spans="1:29" x14ac:dyDescent="0.25">
      <c r="A93" s="110"/>
      <c r="B93" s="8"/>
      <c r="C93" s="8"/>
      <c r="D93" s="8"/>
      <c r="E93" s="8"/>
      <c r="F93" s="8"/>
      <c r="G93" s="8"/>
      <c r="H93" s="8"/>
      <c r="I93" s="8"/>
      <c r="J93" s="8"/>
      <c r="K93" s="61"/>
      <c r="L93" s="102"/>
      <c r="R93" s="3"/>
      <c r="S93" s="3"/>
      <c r="T93" s="3"/>
      <c r="U93" s="3"/>
      <c r="V93" s="3"/>
      <c r="W93" s="3"/>
      <c r="X93" s="3"/>
      <c r="Y93" s="3"/>
      <c r="Z93" s="3"/>
      <c r="AA93" s="3"/>
      <c r="AB93" s="3"/>
      <c r="AC93" s="3"/>
    </row>
    <row r="94" spans="1:29" x14ac:dyDescent="0.25">
      <c r="A94" s="110"/>
      <c r="B94" s="8"/>
      <c r="C94" s="8"/>
      <c r="D94" s="8"/>
      <c r="E94" s="8"/>
      <c r="F94" s="8"/>
      <c r="G94" s="8"/>
      <c r="H94" s="8"/>
      <c r="I94" s="8"/>
      <c r="J94" s="8"/>
      <c r="K94" s="61"/>
      <c r="L94" s="102"/>
      <c r="R94" s="3"/>
      <c r="S94" s="3"/>
      <c r="T94" s="3"/>
      <c r="U94" s="3"/>
      <c r="V94" s="3"/>
      <c r="W94" s="3"/>
      <c r="X94" s="3"/>
      <c r="Y94" s="3"/>
      <c r="Z94" s="3"/>
      <c r="AA94" s="3"/>
      <c r="AB94" s="3"/>
      <c r="AC94" s="3"/>
    </row>
    <row r="95" spans="1:29" x14ac:dyDescent="0.25">
      <c r="A95" s="110"/>
      <c r="B95" s="8"/>
      <c r="C95" s="8"/>
      <c r="D95" s="8"/>
      <c r="E95" s="8"/>
      <c r="F95" s="8"/>
      <c r="G95" s="8"/>
      <c r="H95" s="8"/>
      <c r="I95" s="8"/>
      <c r="J95" s="8"/>
      <c r="K95" s="61"/>
      <c r="L95" s="102"/>
    </row>
    <row r="96" spans="1:29" x14ac:dyDescent="0.25">
      <c r="A96" s="110"/>
      <c r="B96" s="8"/>
      <c r="C96" s="8"/>
      <c r="D96" s="8"/>
      <c r="E96" s="8"/>
      <c r="F96" s="8"/>
      <c r="G96" s="8"/>
      <c r="H96" s="8"/>
      <c r="I96" s="8"/>
      <c r="J96" s="8"/>
      <c r="K96" s="61"/>
      <c r="L96" s="102"/>
    </row>
    <row r="97" spans="1:12" x14ac:dyDescent="0.25">
      <c r="A97" s="110"/>
      <c r="B97" s="8"/>
      <c r="C97" s="8"/>
      <c r="D97" s="8"/>
      <c r="E97" s="8"/>
      <c r="F97" s="8"/>
      <c r="G97" s="8"/>
      <c r="H97" s="8"/>
      <c r="I97" s="8"/>
      <c r="J97" s="8"/>
      <c r="K97" s="61"/>
      <c r="L97" s="102"/>
    </row>
    <row r="98" spans="1:12" x14ac:dyDescent="0.25">
      <c r="A98" s="110"/>
      <c r="B98" s="8"/>
      <c r="C98" s="8"/>
      <c r="D98" s="8"/>
      <c r="E98" s="8"/>
      <c r="F98" s="8"/>
      <c r="G98" s="8"/>
      <c r="H98" s="8"/>
      <c r="I98" s="8"/>
      <c r="J98" s="8"/>
      <c r="K98" s="61"/>
      <c r="L98" s="102"/>
    </row>
    <row r="99" spans="1:12" x14ac:dyDescent="0.25">
      <c r="A99" s="110"/>
      <c r="B99" s="8"/>
      <c r="C99" s="8"/>
      <c r="D99" s="8"/>
      <c r="E99" s="8"/>
      <c r="F99" s="8"/>
      <c r="G99" s="8"/>
      <c r="H99" s="8"/>
      <c r="I99" s="8"/>
      <c r="J99" s="8"/>
      <c r="K99" s="61"/>
      <c r="L99" s="102"/>
    </row>
    <row r="100" spans="1:12" x14ac:dyDescent="0.25">
      <c r="A100" s="110"/>
      <c r="B100" s="8"/>
      <c r="C100" s="8"/>
      <c r="D100" s="8"/>
      <c r="E100" s="8"/>
      <c r="F100" s="8"/>
      <c r="G100" s="8"/>
      <c r="H100" s="8"/>
      <c r="I100" s="8"/>
      <c r="J100" s="8"/>
      <c r="K100" s="61"/>
      <c r="L100" s="102"/>
    </row>
    <row r="101" spans="1:12" x14ac:dyDescent="0.25">
      <c r="A101" s="110"/>
      <c r="B101" s="8"/>
      <c r="C101" s="8"/>
      <c r="D101" s="8"/>
      <c r="E101" s="8"/>
      <c r="F101" s="8"/>
      <c r="G101" s="8"/>
      <c r="H101" s="8"/>
      <c r="I101" s="8"/>
      <c r="J101" s="8"/>
      <c r="K101" s="61"/>
      <c r="L101" s="102"/>
    </row>
    <row r="102" spans="1:12" x14ac:dyDescent="0.25">
      <c r="A102" s="110"/>
      <c r="B102" s="8"/>
      <c r="C102" s="8"/>
      <c r="D102" s="8"/>
      <c r="E102" s="8"/>
      <c r="F102" s="8"/>
      <c r="G102" s="8"/>
      <c r="H102" s="8"/>
      <c r="I102" s="8"/>
      <c r="J102" s="8"/>
      <c r="K102" s="61"/>
      <c r="L102" s="102"/>
    </row>
    <row r="103" spans="1:12" x14ac:dyDescent="0.25">
      <c r="A103" s="110"/>
      <c r="B103" s="8"/>
      <c r="C103" s="8"/>
      <c r="D103" s="8"/>
      <c r="E103" s="8"/>
      <c r="F103" s="8"/>
      <c r="G103" s="8"/>
      <c r="H103" s="8"/>
      <c r="I103" s="8"/>
      <c r="J103" s="8"/>
      <c r="K103" s="61"/>
      <c r="L103" s="102"/>
    </row>
    <row r="104" spans="1:12" x14ac:dyDescent="0.25">
      <c r="A104" s="110"/>
      <c r="B104" s="8"/>
      <c r="C104" s="8"/>
      <c r="D104" s="8"/>
      <c r="E104" s="13"/>
      <c r="F104" s="13"/>
      <c r="G104" s="13"/>
      <c r="H104" s="13"/>
      <c r="I104" s="8"/>
      <c r="J104" s="8"/>
      <c r="K104" s="13"/>
      <c r="L104" s="164"/>
    </row>
    <row r="105" spans="1:12" x14ac:dyDescent="0.25">
      <c r="A105" s="110"/>
      <c r="B105" s="8"/>
      <c r="C105" s="8"/>
      <c r="D105" s="8"/>
      <c r="E105" s="13"/>
      <c r="F105" s="13"/>
      <c r="G105" s="13"/>
      <c r="H105" s="13"/>
      <c r="I105" s="8"/>
      <c r="J105" s="8"/>
      <c r="K105" s="13"/>
      <c r="L105" s="164"/>
    </row>
    <row r="106" spans="1:12" x14ac:dyDescent="0.25">
      <c r="A106" s="110"/>
      <c r="B106" s="8"/>
      <c r="C106" s="8"/>
      <c r="D106" s="8"/>
      <c r="E106" s="13"/>
      <c r="F106" s="13"/>
      <c r="G106" s="13"/>
      <c r="H106" s="13"/>
      <c r="I106" s="8"/>
      <c r="J106" s="8"/>
      <c r="K106" s="13"/>
      <c r="L106" s="164"/>
    </row>
    <row r="107" spans="1:12" x14ac:dyDescent="0.25">
      <c r="A107" s="110"/>
      <c r="B107" s="8"/>
      <c r="C107" s="8"/>
      <c r="D107" s="8"/>
      <c r="E107" s="13"/>
      <c r="F107" s="13"/>
      <c r="G107" s="13"/>
      <c r="H107" s="13"/>
      <c r="I107" s="8"/>
      <c r="J107" s="8"/>
      <c r="K107" s="13"/>
      <c r="L107" s="164"/>
    </row>
    <row r="108" spans="1:12" x14ac:dyDescent="0.25">
      <c r="A108" s="110"/>
      <c r="B108" s="8"/>
      <c r="C108" s="8"/>
      <c r="D108" s="8"/>
      <c r="E108" s="13"/>
      <c r="F108" s="13"/>
      <c r="G108" s="13"/>
      <c r="H108" s="13"/>
      <c r="I108" s="8"/>
      <c r="J108" s="8"/>
      <c r="K108" s="13"/>
      <c r="L108" s="164"/>
    </row>
    <row r="109" spans="1:12" x14ac:dyDescent="0.25">
      <c r="A109" s="110"/>
      <c r="B109" s="8"/>
      <c r="C109" s="8"/>
      <c r="D109" s="8"/>
      <c r="E109" s="13"/>
      <c r="F109" s="13"/>
      <c r="G109" s="13"/>
      <c r="H109" s="13"/>
      <c r="I109" s="8"/>
      <c r="J109" s="8"/>
      <c r="K109" s="13"/>
      <c r="L109" s="164"/>
    </row>
    <row r="110" spans="1:12" x14ac:dyDescent="0.25">
      <c r="A110" s="110"/>
      <c r="B110" s="8"/>
      <c r="C110" s="8"/>
      <c r="D110" s="8"/>
      <c r="E110" s="13"/>
      <c r="F110" s="13"/>
      <c r="G110" s="13"/>
      <c r="H110" s="13"/>
      <c r="I110" s="8"/>
      <c r="J110" s="8"/>
      <c r="K110" s="13"/>
      <c r="L110" s="164"/>
    </row>
    <row r="111" spans="1:12" x14ac:dyDescent="0.25">
      <c r="A111" s="110"/>
      <c r="B111" s="8"/>
      <c r="C111" s="8"/>
      <c r="D111" s="8"/>
      <c r="E111" s="13"/>
      <c r="F111" s="13"/>
      <c r="G111" s="13"/>
      <c r="H111" s="13"/>
      <c r="I111" s="8"/>
      <c r="J111" s="8"/>
      <c r="K111" s="13"/>
      <c r="L111" s="164"/>
    </row>
    <row r="112" spans="1:12" x14ac:dyDescent="0.25">
      <c r="A112" s="110"/>
      <c r="B112" s="8"/>
      <c r="C112" s="8"/>
      <c r="D112" s="8"/>
      <c r="E112" s="13"/>
      <c r="F112" s="13"/>
      <c r="G112" s="13"/>
      <c r="H112" s="13"/>
      <c r="I112" s="8"/>
      <c r="J112" s="8"/>
      <c r="K112" s="13"/>
      <c r="L112" s="164"/>
    </row>
    <row r="113" spans="1:12" x14ac:dyDescent="0.25">
      <c r="A113" s="110"/>
      <c r="B113" s="8"/>
      <c r="C113" s="8"/>
      <c r="D113" s="8"/>
      <c r="E113" s="13"/>
      <c r="F113" s="13"/>
      <c r="G113" s="13"/>
      <c r="H113" s="13"/>
      <c r="I113" s="8"/>
      <c r="J113" s="8"/>
      <c r="K113" s="13"/>
      <c r="L113" s="164"/>
    </row>
    <row r="114" spans="1:12" x14ac:dyDescent="0.25">
      <c r="A114" s="110"/>
      <c r="B114" s="8"/>
      <c r="C114" s="8"/>
      <c r="D114" s="8"/>
      <c r="E114" s="13"/>
      <c r="F114" s="13"/>
      <c r="G114" s="13"/>
      <c r="H114" s="13"/>
      <c r="I114" s="8"/>
      <c r="J114" s="8"/>
      <c r="K114" s="13"/>
      <c r="L114" s="164"/>
    </row>
    <row r="115" spans="1:12" x14ac:dyDescent="0.25">
      <c r="A115" s="110"/>
      <c r="B115" s="8"/>
      <c r="C115" s="8"/>
      <c r="D115" s="8"/>
      <c r="E115" s="13"/>
      <c r="F115" s="13"/>
      <c r="G115" s="13"/>
      <c r="H115" s="13"/>
      <c r="I115" s="8"/>
      <c r="J115" s="8"/>
      <c r="K115" s="13"/>
      <c r="L115" s="164"/>
    </row>
    <row r="116" spans="1:12" x14ac:dyDescent="0.25">
      <c r="A116" s="110"/>
      <c r="B116" s="8"/>
      <c r="C116" s="8"/>
      <c r="D116" s="8"/>
      <c r="E116" s="13"/>
      <c r="F116" s="13"/>
      <c r="G116" s="13"/>
      <c r="H116" s="13"/>
      <c r="I116" s="8"/>
      <c r="J116" s="8"/>
      <c r="K116" s="13"/>
      <c r="L116" s="164"/>
    </row>
    <row r="117" spans="1:12" x14ac:dyDescent="0.25">
      <c r="A117" s="110"/>
      <c r="B117" s="8"/>
      <c r="C117" s="8"/>
      <c r="D117" s="8"/>
      <c r="E117" s="13"/>
      <c r="F117" s="13"/>
      <c r="G117" s="13"/>
      <c r="H117" s="13"/>
      <c r="I117" s="8"/>
      <c r="J117" s="8"/>
      <c r="K117" s="13"/>
      <c r="L117" s="164"/>
    </row>
    <row r="118" spans="1:12" x14ac:dyDescent="0.25">
      <c r="A118" s="110"/>
      <c r="B118" s="8"/>
      <c r="C118" s="8"/>
      <c r="D118" s="8"/>
      <c r="E118" s="13"/>
      <c r="F118" s="13"/>
      <c r="G118" s="13"/>
      <c r="H118" s="13"/>
      <c r="I118" s="8"/>
      <c r="J118" s="8"/>
      <c r="K118" s="13"/>
      <c r="L118" s="164"/>
    </row>
    <row r="119" spans="1:12" x14ac:dyDescent="0.25">
      <c r="A119" s="110"/>
      <c r="B119" s="8"/>
      <c r="C119" s="8"/>
      <c r="D119" s="8"/>
      <c r="E119" s="13"/>
      <c r="F119" s="13"/>
      <c r="G119" s="13"/>
      <c r="H119" s="13"/>
      <c r="I119" s="8"/>
      <c r="J119" s="8"/>
      <c r="K119" s="13"/>
      <c r="L119" s="164"/>
    </row>
    <row r="120" spans="1:12" x14ac:dyDescent="0.25">
      <c r="A120" s="110"/>
      <c r="B120" s="8"/>
      <c r="C120" s="8"/>
      <c r="D120" s="8"/>
      <c r="E120" s="13"/>
      <c r="F120" s="13"/>
      <c r="G120" s="13"/>
      <c r="H120" s="13"/>
      <c r="I120" s="8"/>
      <c r="J120" s="8"/>
      <c r="K120" s="13"/>
      <c r="L120" s="164"/>
    </row>
    <row r="121" spans="1:12" x14ac:dyDescent="0.25">
      <c r="A121" s="110"/>
      <c r="B121" s="8"/>
      <c r="C121" s="8"/>
      <c r="D121" s="8"/>
      <c r="E121" s="13"/>
      <c r="F121" s="13"/>
      <c r="G121" s="13"/>
      <c r="H121" s="13"/>
      <c r="I121" s="8"/>
      <c r="J121" s="8"/>
      <c r="K121" s="13"/>
      <c r="L121" s="164"/>
    </row>
    <row r="122" spans="1:12" x14ac:dyDescent="0.25">
      <c r="A122" s="110"/>
      <c r="B122" s="8"/>
      <c r="C122" s="8"/>
      <c r="D122" s="8"/>
      <c r="E122" s="13"/>
      <c r="F122" s="13"/>
      <c r="G122" s="13"/>
      <c r="H122" s="13"/>
      <c r="I122" s="8"/>
      <c r="J122" s="8"/>
      <c r="K122" s="13"/>
      <c r="L122" s="164"/>
    </row>
    <row r="123" spans="1:12" x14ac:dyDescent="0.25">
      <c r="A123" s="110"/>
      <c r="B123" s="8"/>
      <c r="C123" s="8"/>
      <c r="D123" s="8"/>
      <c r="E123" s="13"/>
      <c r="F123" s="13"/>
      <c r="G123" s="13"/>
      <c r="H123" s="13"/>
      <c r="I123" s="8"/>
      <c r="J123" s="8"/>
      <c r="K123" s="13"/>
      <c r="L123" s="164"/>
    </row>
    <row r="124" spans="1:12" x14ac:dyDescent="0.25">
      <c r="A124" s="110"/>
      <c r="B124" s="8"/>
      <c r="C124" s="8"/>
      <c r="D124" s="8"/>
      <c r="E124" s="13"/>
      <c r="F124" s="13"/>
      <c r="G124" s="13"/>
      <c r="H124" s="13"/>
      <c r="I124" s="8"/>
      <c r="J124" s="8"/>
      <c r="K124" s="13"/>
      <c r="L124" s="164"/>
    </row>
    <row r="125" spans="1:12" x14ac:dyDescent="0.25">
      <c r="A125" s="110"/>
      <c r="B125" s="8"/>
      <c r="C125" s="8"/>
      <c r="D125" s="8"/>
      <c r="E125" s="13"/>
      <c r="F125" s="13"/>
      <c r="G125" s="13"/>
      <c r="H125" s="13"/>
      <c r="I125" s="8"/>
      <c r="J125" s="8"/>
      <c r="K125" s="13"/>
      <c r="L125" s="164"/>
    </row>
    <row r="126" spans="1:12" x14ac:dyDescent="0.25">
      <c r="A126" s="110"/>
      <c r="B126" s="8"/>
      <c r="C126" s="8"/>
      <c r="D126" s="8"/>
      <c r="E126" s="13"/>
      <c r="F126" s="13"/>
      <c r="G126" s="13"/>
      <c r="H126" s="13"/>
      <c r="I126" s="8"/>
      <c r="J126" s="8"/>
      <c r="K126" s="13"/>
      <c r="L126" s="164"/>
    </row>
    <row r="127" spans="1:12" x14ac:dyDescent="0.25">
      <c r="A127" s="110"/>
      <c r="B127" s="8"/>
      <c r="C127" s="8"/>
      <c r="D127" s="8"/>
      <c r="E127" s="13"/>
      <c r="F127" s="13"/>
      <c r="G127" s="13"/>
      <c r="H127" s="13"/>
      <c r="I127" s="8"/>
      <c r="J127" s="8"/>
      <c r="K127" s="13"/>
      <c r="L127" s="164"/>
    </row>
    <row r="128" spans="1:12" x14ac:dyDescent="0.25">
      <c r="A128" s="110"/>
      <c r="B128" s="8"/>
      <c r="C128" s="8"/>
      <c r="D128" s="8"/>
      <c r="E128" s="13"/>
      <c r="F128" s="13"/>
      <c r="G128" s="13"/>
      <c r="H128" s="13"/>
      <c r="I128" s="8"/>
      <c r="J128" s="8"/>
      <c r="K128" s="13"/>
      <c r="L128" s="164"/>
    </row>
    <row r="129" spans="1:12" x14ac:dyDescent="0.25">
      <c r="A129" s="110"/>
      <c r="B129" s="8"/>
      <c r="C129" s="8"/>
      <c r="D129" s="8"/>
      <c r="E129" s="13"/>
      <c r="F129" s="13"/>
      <c r="G129" s="13"/>
      <c r="H129" s="13"/>
      <c r="I129" s="8"/>
      <c r="J129" s="8"/>
      <c r="K129" s="13"/>
      <c r="L129" s="164"/>
    </row>
    <row r="130" spans="1:12" x14ac:dyDescent="0.25">
      <c r="A130" s="110"/>
      <c r="B130" s="8"/>
      <c r="C130" s="8"/>
      <c r="D130" s="8"/>
      <c r="E130" s="13"/>
      <c r="F130" s="13"/>
      <c r="G130" s="13"/>
      <c r="H130" s="13"/>
      <c r="I130" s="8"/>
      <c r="J130" s="8"/>
      <c r="K130" s="13"/>
      <c r="L130" s="164"/>
    </row>
    <row r="131" spans="1:12" x14ac:dyDescent="0.25">
      <c r="A131" s="110"/>
      <c r="B131" s="8"/>
      <c r="C131" s="8"/>
      <c r="D131" s="8"/>
      <c r="E131" s="13"/>
      <c r="F131" s="13"/>
      <c r="G131" s="13"/>
      <c r="H131" s="13"/>
      <c r="I131" s="8"/>
      <c r="J131" s="8"/>
      <c r="K131" s="13"/>
      <c r="L131" s="164"/>
    </row>
    <row r="132" spans="1:12" x14ac:dyDescent="0.25">
      <c r="A132" s="110"/>
      <c r="B132" s="8"/>
      <c r="C132" s="8"/>
      <c r="D132" s="8"/>
      <c r="E132" s="13"/>
      <c r="F132" s="13"/>
      <c r="G132" s="13"/>
      <c r="H132" s="13"/>
      <c r="I132" s="8"/>
      <c r="J132" s="8"/>
      <c r="K132" s="13"/>
      <c r="L132" s="164"/>
    </row>
    <row r="133" spans="1:12" x14ac:dyDescent="0.25">
      <c r="A133" s="110"/>
      <c r="B133" s="8"/>
      <c r="C133" s="8"/>
      <c r="D133" s="8"/>
      <c r="E133" s="13"/>
      <c r="F133" s="13"/>
      <c r="G133" s="13"/>
      <c r="H133" s="13"/>
      <c r="I133" s="8"/>
      <c r="J133" s="8"/>
      <c r="K133" s="13"/>
      <c r="L133" s="164"/>
    </row>
    <row r="134" spans="1:12" x14ac:dyDescent="0.25">
      <c r="A134" s="110"/>
      <c r="B134" s="8"/>
      <c r="C134" s="8"/>
      <c r="D134" s="8"/>
      <c r="E134" s="13"/>
      <c r="F134" s="13"/>
      <c r="G134" s="13"/>
      <c r="H134" s="13"/>
      <c r="I134" s="8"/>
      <c r="J134" s="8"/>
      <c r="K134" s="13"/>
      <c r="L134" s="164"/>
    </row>
    <row r="135" spans="1:12" x14ac:dyDescent="0.25">
      <c r="A135" s="110"/>
      <c r="B135" s="8"/>
      <c r="C135" s="8"/>
      <c r="D135" s="8"/>
      <c r="E135" s="13"/>
      <c r="F135" s="13"/>
      <c r="G135" s="13"/>
      <c r="H135" s="13"/>
      <c r="I135" s="8"/>
      <c r="J135" s="8"/>
      <c r="K135" s="13"/>
      <c r="L135" s="164"/>
    </row>
    <row r="136" spans="1:12" x14ac:dyDescent="0.25">
      <c r="A136" s="110"/>
      <c r="B136" s="8"/>
      <c r="C136" s="8"/>
      <c r="D136" s="8"/>
      <c r="E136" s="13"/>
      <c r="F136" s="13"/>
      <c r="G136" s="13"/>
      <c r="H136" s="13"/>
      <c r="I136" s="8"/>
      <c r="J136" s="8"/>
      <c r="K136" s="13"/>
      <c r="L136" s="164"/>
    </row>
    <row r="137" spans="1:12" x14ac:dyDescent="0.25">
      <c r="A137" s="110"/>
      <c r="B137" s="8"/>
      <c r="C137" s="8"/>
      <c r="D137" s="8"/>
      <c r="E137" s="13"/>
      <c r="F137" s="13"/>
      <c r="G137" s="13"/>
      <c r="H137" s="13"/>
      <c r="I137" s="8"/>
      <c r="J137" s="8"/>
      <c r="K137" s="13"/>
      <c r="L137" s="164"/>
    </row>
    <row r="138" spans="1:12" x14ac:dyDescent="0.25">
      <c r="A138" s="110"/>
      <c r="B138" s="8"/>
      <c r="C138" s="8"/>
      <c r="D138" s="8"/>
      <c r="E138" s="13"/>
      <c r="F138" s="13"/>
      <c r="G138" s="13"/>
      <c r="H138" s="13"/>
      <c r="I138" s="8"/>
      <c r="J138" s="8"/>
      <c r="K138" s="13"/>
      <c r="L138" s="164"/>
    </row>
    <row r="139" spans="1:12" x14ac:dyDescent="0.25">
      <c r="A139" s="110"/>
      <c r="B139" s="8"/>
      <c r="C139" s="8"/>
      <c r="D139" s="8"/>
      <c r="E139" s="13"/>
      <c r="F139" s="13"/>
      <c r="G139" s="13"/>
      <c r="H139" s="13"/>
      <c r="I139" s="8"/>
      <c r="J139" s="8"/>
      <c r="K139" s="13"/>
      <c r="L139" s="164"/>
    </row>
    <row r="140" spans="1:12" x14ac:dyDescent="0.25">
      <c r="A140" s="110"/>
      <c r="B140" s="8"/>
      <c r="C140" s="8"/>
      <c r="D140" s="8"/>
      <c r="E140" s="13"/>
      <c r="F140" s="13"/>
      <c r="G140" s="13"/>
      <c r="H140" s="13"/>
      <c r="I140" s="8"/>
      <c r="J140" s="8"/>
      <c r="K140" s="13"/>
      <c r="L140" s="164"/>
    </row>
    <row r="141" spans="1:12" x14ac:dyDescent="0.25">
      <c r="A141" s="110"/>
      <c r="B141" s="8"/>
      <c r="C141" s="8"/>
      <c r="D141" s="8"/>
      <c r="E141" s="13"/>
      <c r="F141" s="13"/>
      <c r="G141" s="13"/>
      <c r="H141" s="13"/>
      <c r="I141" s="8"/>
      <c r="J141" s="8"/>
      <c r="K141" s="13"/>
      <c r="L141" s="164"/>
    </row>
    <row r="142" spans="1:12" x14ac:dyDescent="0.25">
      <c r="A142" s="110"/>
      <c r="B142" s="8"/>
      <c r="C142" s="8"/>
      <c r="D142" s="8"/>
      <c r="E142" s="13"/>
      <c r="F142" s="13"/>
      <c r="G142" s="13"/>
      <c r="H142" s="13"/>
      <c r="I142" s="8"/>
      <c r="J142" s="8"/>
      <c r="K142" s="13"/>
      <c r="L142" s="164"/>
    </row>
    <row r="143" spans="1:12" x14ac:dyDescent="0.25">
      <c r="A143" s="110"/>
      <c r="B143" s="8"/>
      <c r="C143" s="8"/>
      <c r="D143" s="8"/>
      <c r="E143" s="13"/>
      <c r="F143" s="13"/>
      <c r="G143" s="13"/>
      <c r="H143" s="13"/>
      <c r="I143" s="8"/>
      <c r="J143" s="8"/>
      <c r="K143" s="13"/>
      <c r="L143" s="164"/>
    </row>
    <row r="144" spans="1:12" x14ac:dyDescent="0.25">
      <c r="A144" s="110"/>
      <c r="B144" s="8"/>
      <c r="C144" s="8"/>
      <c r="D144" s="8"/>
      <c r="E144" s="13"/>
      <c r="F144" s="13"/>
      <c r="G144" s="13"/>
      <c r="H144" s="13"/>
      <c r="I144" s="8"/>
      <c r="J144" s="8"/>
      <c r="K144" s="13"/>
      <c r="L144" s="164"/>
    </row>
    <row r="145" spans="1:12" x14ac:dyDescent="0.25">
      <c r="A145" s="110"/>
      <c r="B145" s="8"/>
      <c r="C145" s="8"/>
      <c r="D145" s="8"/>
      <c r="E145" s="13"/>
      <c r="F145" s="13"/>
      <c r="G145" s="13"/>
      <c r="H145" s="13"/>
      <c r="I145" s="8"/>
      <c r="J145" s="8"/>
      <c r="K145" s="13"/>
      <c r="L145" s="164"/>
    </row>
    <row r="146" spans="1:12" x14ac:dyDescent="0.25">
      <c r="A146" s="110"/>
      <c r="B146" s="8"/>
      <c r="C146" s="8"/>
      <c r="D146" s="8"/>
      <c r="E146" s="13"/>
      <c r="F146" s="13"/>
      <c r="G146" s="13"/>
      <c r="H146" s="13"/>
      <c r="I146" s="8"/>
      <c r="J146" s="8"/>
      <c r="K146" s="13"/>
      <c r="L146" s="164"/>
    </row>
    <row r="147" spans="1:12" x14ac:dyDescent="0.25">
      <c r="A147" s="110"/>
      <c r="B147" s="8"/>
      <c r="C147" s="8"/>
      <c r="D147" s="8"/>
      <c r="E147" s="13"/>
      <c r="F147" s="13"/>
      <c r="G147" s="13"/>
      <c r="H147" s="13"/>
      <c r="I147" s="8"/>
      <c r="J147" s="8"/>
      <c r="K147" s="13"/>
      <c r="L147" s="164"/>
    </row>
    <row r="148" spans="1:12" x14ac:dyDescent="0.25">
      <c r="A148" s="110"/>
      <c r="B148" s="8"/>
      <c r="C148" s="8"/>
      <c r="D148" s="8"/>
      <c r="E148" s="13"/>
      <c r="F148" s="13"/>
      <c r="G148" s="13"/>
      <c r="H148" s="13"/>
      <c r="I148" s="8"/>
      <c r="J148" s="8"/>
      <c r="K148" s="13"/>
      <c r="L148" s="164"/>
    </row>
    <row r="149" spans="1:12" x14ac:dyDescent="0.25">
      <c r="A149" s="110"/>
      <c r="B149" s="8"/>
      <c r="C149" s="8"/>
      <c r="D149" s="8"/>
      <c r="E149" s="13"/>
      <c r="F149" s="13"/>
      <c r="G149" s="13"/>
      <c r="H149" s="13"/>
      <c r="I149" s="8"/>
      <c r="J149" s="8"/>
      <c r="K149" s="13"/>
      <c r="L149" s="164"/>
    </row>
    <row r="150" spans="1:12" x14ac:dyDescent="0.25">
      <c r="A150" s="110"/>
      <c r="B150" s="8"/>
      <c r="C150" s="8"/>
      <c r="D150" s="8"/>
      <c r="E150" s="13"/>
      <c r="F150" s="13"/>
      <c r="G150" s="13"/>
      <c r="H150" s="13"/>
      <c r="I150" s="8"/>
      <c r="J150" s="8"/>
      <c r="K150" s="13"/>
      <c r="L150" s="164"/>
    </row>
    <row r="151" spans="1:12" x14ac:dyDescent="0.25">
      <c r="A151" s="110"/>
      <c r="B151" s="8"/>
      <c r="C151" s="8"/>
      <c r="D151" s="8"/>
      <c r="E151" s="13"/>
      <c r="F151" s="13"/>
      <c r="G151" s="13"/>
      <c r="H151" s="13"/>
      <c r="I151" s="8"/>
      <c r="J151" s="8"/>
      <c r="K151" s="13"/>
      <c r="L151" s="164"/>
    </row>
    <row r="152" spans="1:12" x14ac:dyDescent="0.25">
      <c r="A152" s="110"/>
      <c r="B152" s="8"/>
      <c r="C152" s="8"/>
      <c r="D152" s="8"/>
      <c r="E152" s="13"/>
      <c r="F152" s="13"/>
      <c r="G152" s="13"/>
      <c r="H152" s="13"/>
      <c r="I152" s="8"/>
      <c r="J152" s="8"/>
      <c r="K152" s="13"/>
      <c r="L152" s="164"/>
    </row>
    <row r="153" spans="1:12" x14ac:dyDescent="0.25">
      <c r="A153" s="110"/>
      <c r="B153" s="8"/>
      <c r="C153" s="8"/>
      <c r="D153" s="8"/>
      <c r="E153" s="13"/>
      <c r="F153" s="13"/>
      <c r="G153" s="13"/>
      <c r="H153" s="13"/>
      <c r="I153" s="8"/>
      <c r="J153" s="8"/>
      <c r="K153" s="13"/>
      <c r="L153" s="164"/>
    </row>
    <row r="154" spans="1:12" x14ac:dyDescent="0.25">
      <c r="A154" s="110"/>
      <c r="B154" s="8"/>
      <c r="C154" s="8"/>
      <c r="D154" s="8"/>
      <c r="E154" s="13"/>
      <c r="F154" s="13"/>
      <c r="G154" s="13"/>
      <c r="H154" s="13"/>
      <c r="I154" s="8"/>
      <c r="J154" s="8"/>
      <c r="K154" s="13"/>
      <c r="L154" s="164"/>
    </row>
    <row r="155" spans="1:12" x14ac:dyDescent="0.25">
      <c r="A155" s="110"/>
      <c r="B155" s="8"/>
      <c r="C155" s="8"/>
      <c r="D155" s="8"/>
      <c r="E155" s="13"/>
      <c r="F155" s="13"/>
      <c r="G155" s="13"/>
      <c r="H155" s="13"/>
      <c r="I155" s="8"/>
      <c r="J155" s="8"/>
      <c r="K155" s="13"/>
      <c r="L155" s="164"/>
    </row>
    <row r="156" spans="1:12" x14ac:dyDescent="0.25">
      <c r="A156" s="110"/>
      <c r="B156" s="8"/>
      <c r="C156" s="8"/>
      <c r="D156" s="8"/>
      <c r="E156" s="13"/>
      <c r="F156" s="13"/>
      <c r="G156" s="13"/>
      <c r="H156" s="13"/>
      <c r="I156" s="8"/>
      <c r="J156" s="8"/>
      <c r="K156" s="13"/>
      <c r="L156" s="164"/>
    </row>
    <row r="157" spans="1:12" x14ac:dyDescent="0.25">
      <c r="A157" s="110"/>
      <c r="B157" s="8"/>
      <c r="C157" s="8"/>
      <c r="D157" s="8"/>
      <c r="E157" s="13"/>
      <c r="F157" s="13"/>
      <c r="G157" s="13"/>
      <c r="H157" s="13"/>
      <c r="I157" s="8"/>
      <c r="J157" s="8"/>
      <c r="K157" s="13"/>
      <c r="L157" s="164"/>
    </row>
    <row r="158" spans="1:12" x14ac:dyDescent="0.25">
      <c r="A158" s="110"/>
      <c r="B158" s="8"/>
      <c r="C158" s="8"/>
      <c r="D158" s="8"/>
      <c r="E158" s="13"/>
      <c r="F158" s="13"/>
      <c r="G158" s="13"/>
      <c r="H158" s="13"/>
      <c r="I158" s="8"/>
      <c r="J158" s="8"/>
      <c r="K158" s="13"/>
      <c r="L158" s="164"/>
    </row>
    <row r="159" spans="1:12" x14ac:dyDescent="0.25">
      <c r="A159" s="110"/>
      <c r="B159" s="8"/>
      <c r="C159" s="8"/>
      <c r="D159" s="8"/>
      <c r="E159" s="13"/>
      <c r="F159" s="13"/>
      <c r="G159" s="13"/>
      <c r="H159" s="13"/>
      <c r="I159" s="8"/>
      <c r="J159" s="8"/>
      <c r="K159" s="13"/>
      <c r="L159" s="164"/>
    </row>
    <row r="160" spans="1:12" x14ac:dyDescent="0.25">
      <c r="A160" s="110"/>
      <c r="B160" s="8"/>
      <c r="C160" s="8"/>
      <c r="D160" s="8"/>
      <c r="E160" s="13"/>
      <c r="F160" s="13"/>
      <c r="G160" s="13"/>
      <c r="H160" s="13"/>
      <c r="I160" s="8"/>
      <c r="J160" s="8"/>
      <c r="K160" s="13"/>
      <c r="L160" s="164"/>
    </row>
    <row r="161" spans="1:12" x14ac:dyDescent="0.25">
      <c r="A161" s="110"/>
      <c r="B161" s="8"/>
      <c r="C161" s="8"/>
      <c r="D161" s="8"/>
      <c r="E161" s="13"/>
      <c r="F161" s="13"/>
      <c r="G161" s="13"/>
      <c r="H161" s="13"/>
      <c r="I161" s="8"/>
      <c r="J161" s="8"/>
      <c r="K161" s="13"/>
      <c r="L161" s="164"/>
    </row>
    <row r="162" spans="1:12" x14ac:dyDescent="0.25">
      <c r="A162" s="110"/>
      <c r="B162" s="8"/>
      <c r="C162" s="8"/>
      <c r="D162" s="8"/>
      <c r="E162" s="13"/>
      <c r="F162" s="13"/>
      <c r="G162" s="13"/>
      <c r="H162" s="13"/>
      <c r="I162" s="8"/>
      <c r="J162" s="8"/>
      <c r="K162" s="13"/>
      <c r="L162" s="164"/>
    </row>
    <row r="163" spans="1:12" x14ac:dyDescent="0.25">
      <c r="A163" s="110"/>
      <c r="B163" s="8"/>
      <c r="C163" s="8"/>
      <c r="D163" s="8"/>
      <c r="E163" s="13"/>
      <c r="F163" s="13"/>
      <c r="G163" s="13"/>
      <c r="H163" s="13"/>
      <c r="I163" s="8"/>
      <c r="J163" s="8"/>
      <c r="K163" s="13"/>
      <c r="L163" s="164"/>
    </row>
    <row r="164" spans="1:12" x14ac:dyDescent="0.25">
      <c r="A164" s="110"/>
      <c r="B164" s="8"/>
      <c r="C164" s="8"/>
      <c r="D164" s="8"/>
      <c r="E164" s="13"/>
      <c r="F164" s="13"/>
      <c r="G164" s="13"/>
      <c r="H164" s="13"/>
      <c r="I164" s="8"/>
      <c r="J164" s="8"/>
      <c r="K164" s="13"/>
      <c r="L164" s="164"/>
    </row>
    <row r="165" spans="1:12" x14ac:dyDescent="0.25">
      <c r="A165" s="110"/>
      <c r="B165" s="8"/>
      <c r="C165" s="8"/>
      <c r="D165" s="8"/>
      <c r="E165" s="13"/>
      <c r="F165" s="13"/>
      <c r="G165" s="13"/>
      <c r="H165" s="13"/>
      <c r="I165" s="8"/>
      <c r="J165" s="8"/>
      <c r="K165" s="13"/>
      <c r="L165" s="164"/>
    </row>
    <row r="166" spans="1:12" x14ac:dyDescent="0.25">
      <c r="A166" s="110"/>
      <c r="B166" s="8"/>
      <c r="C166" s="8"/>
      <c r="D166" s="8"/>
      <c r="E166" s="13"/>
      <c r="F166" s="13"/>
      <c r="G166" s="13"/>
      <c r="H166" s="13"/>
      <c r="I166" s="8"/>
      <c r="J166" s="8"/>
      <c r="K166" s="13"/>
      <c r="L166" s="164"/>
    </row>
    <row r="167" spans="1:12" x14ac:dyDescent="0.25">
      <c r="A167" s="110"/>
      <c r="B167" s="8"/>
      <c r="C167" s="8"/>
      <c r="D167" s="8"/>
      <c r="E167" s="13"/>
      <c r="F167" s="13"/>
      <c r="G167" s="13"/>
      <c r="H167" s="13"/>
      <c r="I167" s="8"/>
      <c r="J167" s="8"/>
      <c r="K167" s="13"/>
      <c r="L167" s="164"/>
    </row>
    <row r="168" spans="1:12" x14ac:dyDescent="0.25">
      <c r="A168" s="110"/>
      <c r="B168" s="8"/>
      <c r="C168" s="8"/>
      <c r="D168" s="8"/>
      <c r="E168" s="13"/>
      <c r="F168" s="13"/>
      <c r="G168" s="13"/>
      <c r="H168" s="13"/>
      <c r="I168" s="8"/>
      <c r="J168" s="8"/>
      <c r="K168" s="13"/>
      <c r="L168" s="164"/>
    </row>
    <row r="169" spans="1:12" x14ac:dyDescent="0.25">
      <c r="A169" s="110"/>
      <c r="B169" s="8"/>
      <c r="C169" s="8"/>
      <c r="D169" s="8"/>
      <c r="E169" s="13"/>
      <c r="F169" s="13"/>
      <c r="G169" s="13"/>
      <c r="H169" s="13"/>
      <c r="I169" s="8"/>
      <c r="J169" s="8"/>
      <c r="K169" s="13"/>
      <c r="L169" s="164"/>
    </row>
    <row r="170" spans="1:12" x14ac:dyDescent="0.25">
      <c r="A170" s="110"/>
      <c r="B170" s="8"/>
      <c r="C170" s="8"/>
      <c r="D170" s="8"/>
      <c r="E170" s="13"/>
      <c r="F170" s="13"/>
      <c r="G170" s="13"/>
      <c r="H170" s="13"/>
      <c r="I170" s="8"/>
      <c r="J170" s="8"/>
      <c r="K170" s="13"/>
      <c r="L170" s="164"/>
    </row>
    <row r="171" spans="1:12" x14ac:dyDescent="0.25">
      <c r="A171" s="110"/>
      <c r="B171" s="8"/>
      <c r="C171" s="8"/>
      <c r="D171" s="8"/>
      <c r="E171" s="13"/>
      <c r="F171" s="13"/>
      <c r="G171" s="13"/>
      <c r="H171" s="13"/>
      <c r="I171" s="8"/>
      <c r="J171" s="8"/>
      <c r="K171" s="13"/>
      <c r="L171" s="164"/>
    </row>
    <row r="172" spans="1:12" x14ac:dyDescent="0.25">
      <c r="A172" s="110"/>
      <c r="B172" s="8"/>
      <c r="C172" s="8"/>
      <c r="D172" s="8"/>
      <c r="E172" s="13"/>
      <c r="F172" s="13"/>
      <c r="G172" s="13"/>
      <c r="H172" s="13"/>
      <c r="I172" s="8"/>
      <c r="J172" s="8"/>
      <c r="K172" s="13"/>
      <c r="L172" s="164"/>
    </row>
    <row r="173" spans="1:12" x14ac:dyDescent="0.25">
      <c r="A173" s="110"/>
      <c r="B173" s="8"/>
      <c r="C173" s="8"/>
      <c r="D173" s="8"/>
      <c r="E173" s="13"/>
      <c r="F173" s="13"/>
      <c r="G173" s="13"/>
      <c r="H173" s="13"/>
      <c r="I173" s="8"/>
      <c r="J173" s="8"/>
      <c r="K173" s="13"/>
      <c r="L173" s="164"/>
    </row>
    <row r="174" spans="1:12" x14ac:dyDescent="0.25">
      <c r="A174" s="110"/>
      <c r="B174" s="8"/>
      <c r="C174" s="8"/>
      <c r="D174" s="8"/>
      <c r="E174" s="13"/>
      <c r="F174" s="13"/>
      <c r="G174" s="13"/>
      <c r="H174" s="13"/>
      <c r="I174" s="8"/>
      <c r="J174" s="8"/>
      <c r="K174" s="13"/>
      <c r="L174" s="164"/>
    </row>
    <row r="175" spans="1:12" x14ac:dyDescent="0.25">
      <c r="A175" s="110"/>
      <c r="B175" s="8"/>
      <c r="C175" s="8"/>
      <c r="D175" s="8"/>
      <c r="E175" s="13"/>
      <c r="F175" s="13"/>
      <c r="G175" s="13"/>
      <c r="H175" s="13"/>
      <c r="I175" s="8"/>
      <c r="J175" s="8"/>
      <c r="K175" s="13"/>
      <c r="L175" s="164"/>
    </row>
    <row r="176" spans="1:12" x14ac:dyDescent="0.25">
      <c r="A176" s="110"/>
      <c r="B176" s="8"/>
      <c r="C176" s="8"/>
      <c r="D176" s="8"/>
      <c r="E176" s="13"/>
      <c r="F176" s="13"/>
      <c r="G176" s="13"/>
      <c r="H176" s="13"/>
      <c r="I176" s="8"/>
      <c r="J176" s="8"/>
      <c r="K176" s="13"/>
      <c r="L176" s="164"/>
    </row>
    <row r="177" spans="1:12" x14ac:dyDescent="0.25">
      <c r="A177" s="110"/>
      <c r="B177" s="8"/>
      <c r="C177" s="8"/>
      <c r="D177" s="8"/>
      <c r="E177" s="13"/>
      <c r="F177" s="13"/>
      <c r="G177" s="13"/>
      <c r="H177" s="13"/>
      <c r="I177" s="8"/>
      <c r="J177" s="8"/>
      <c r="K177" s="13"/>
      <c r="L177" s="164"/>
    </row>
    <row r="178" spans="1:12" x14ac:dyDescent="0.25">
      <c r="A178" s="110"/>
      <c r="B178" s="8"/>
      <c r="C178" s="8"/>
      <c r="D178" s="8"/>
      <c r="E178" s="13"/>
      <c r="F178" s="13"/>
      <c r="G178" s="13"/>
      <c r="H178" s="13"/>
      <c r="I178" s="8"/>
      <c r="J178" s="8"/>
      <c r="K178" s="13"/>
      <c r="L178" s="164"/>
    </row>
    <row r="179" spans="1:12" x14ac:dyDescent="0.25">
      <c r="A179" s="110"/>
      <c r="B179" s="8"/>
      <c r="C179" s="8"/>
      <c r="D179" s="8"/>
      <c r="E179" s="13"/>
      <c r="F179" s="13"/>
      <c r="G179" s="13"/>
      <c r="H179" s="13"/>
      <c r="I179" s="8"/>
      <c r="J179" s="8"/>
      <c r="K179" s="13"/>
      <c r="L179" s="164"/>
    </row>
    <row r="180" spans="1:12" x14ac:dyDescent="0.25">
      <c r="A180" s="110"/>
      <c r="B180" s="8"/>
      <c r="C180" s="8"/>
      <c r="D180" s="8"/>
      <c r="E180" s="13"/>
      <c r="F180" s="13"/>
      <c r="G180" s="13"/>
      <c r="H180" s="13"/>
      <c r="I180" s="8"/>
      <c r="J180" s="8"/>
      <c r="K180" s="13"/>
      <c r="L180" s="164"/>
    </row>
    <row r="181" spans="1:12" x14ac:dyDescent="0.25">
      <c r="A181" s="110"/>
      <c r="B181" s="8"/>
      <c r="C181" s="8"/>
      <c r="D181" s="8"/>
      <c r="E181" s="13"/>
      <c r="F181" s="13"/>
      <c r="G181" s="13"/>
      <c r="H181" s="13"/>
      <c r="I181" s="8"/>
      <c r="J181" s="8"/>
      <c r="K181" s="13"/>
      <c r="L181" s="164"/>
    </row>
    <row r="182" spans="1:12" x14ac:dyDescent="0.25">
      <c r="A182" s="110"/>
      <c r="B182" s="8"/>
      <c r="C182" s="8"/>
      <c r="D182" s="8"/>
      <c r="E182" s="13"/>
      <c r="F182" s="13"/>
      <c r="G182" s="13"/>
      <c r="H182" s="13"/>
      <c r="I182" s="8"/>
      <c r="J182" s="8"/>
      <c r="K182" s="13"/>
      <c r="L182" s="164"/>
    </row>
    <row r="183" spans="1:12" x14ac:dyDescent="0.25">
      <c r="A183" s="110"/>
      <c r="B183" s="8"/>
      <c r="C183" s="8"/>
      <c r="D183" s="8"/>
      <c r="E183" s="13"/>
      <c r="F183" s="13"/>
      <c r="G183" s="13"/>
      <c r="H183" s="13"/>
      <c r="I183" s="8"/>
      <c r="J183" s="8"/>
      <c r="K183" s="13"/>
      <c r="L183" s="164"/>
    </row>
    <row r="184" spans="1:12" x14ac:dyDescent="0.25">
      <c r="A184" s="110"/>
      <c r="B184" s="8"/>
      <c r="C184" s="8"/>
      <c r="D184" s="8"/>
      <c r="E184" s="13"/>
      <c r="F184" s="13"/>
      <c r="G184" s="13"/>
      <c r="H184" s="13"/>
      <c r="I184" s="8"/>
      <c r="J184" s="8"/>
      <c r="K184" s="13"/>
      <c r="L184" s="164"/>
    </row>
    <row r="185" spans="1:12" x14ac:dyDescent="0.25">
      <c r="A185" s="110"/>
      <c r="B185" s="8"/>
      <c r="C185" s="8"/>
      <c r="D185" s="8"/>
      <c r="E185" s="13"/>
      <c r="F185" s="13"/>
      <c r="G185" s="13"/>
      <c r="H185" s="13"/>
      <c r="I185" s="8"/>
      <c r="J185" s="8"/>
      <c r="K185" s="13"/>
      <c r="L185" s="164"/>
    </row>
    <row r="186" spans="1:12" x14ac:dyDescent="0.25">
      <c r="A186" s="110"/>
      <c r="B186" s="8"/>
      <c r="C186" s="8"/>
      <c r="D186" s="8"/>
      <c r="E186" s="13"/>
      <c r="F186" s="13"/>
      <c r="G186" s="13"/>
      <c r="H186" s="13"/>
      <c r="I186" s="8"/>
      <c r="J186" s="8"/>
      <c r="K186" s="13"/>
      <c r="L186" s="164"/>
    </row>
    <row r="187" spans="1:12" x14ac:dyDescent="0.25">
      <c r="A187" s="110"/>
      <c r="B187" s="8"/>
      <c r="C187" s="8"/>
      <c r="D187" s="8"/>
      <c r="E187" s="13"/>
      <c r="F187" s="13"/>
      <c r="G187" s="13"/>
      <c r="H187" s="13"/>
      <c r="I187" s="8"/>
      <c r="J187" s="8"/>
      <c r="K187" s="13"/>
      <c r="L187" s="164"/>
    </row>
    <row r="188" spans="1:12" x14ac:dyDescent="0.25">
      <c r="A188" s="110"/>
      <c r="B188" s="8"/>
      <c r="C188" s="8"/>
      <c r="D188" s="8"/>
      <c r="E188" s="13"/>
      <c r="F188" s="13"/>
      <c r="G188" s="13"/>
      <c r="H188" s="13"/>
      <c r="I188" s="8"/>
      <c r="J188" s="8"/>
      <c r="K188" s="13"/>
      <c r="L188" s="164"/>
    </row>
    <row r="189" spans="1:12" x14ac:dyDescent="0.25">
      <c r="A189" s="110"/>
      <c r="B189" s="8"/>
      <c r="C189" s="8"/>
      <c r="D189" s="8"/>
      <c r="E189" s="13"/>
      <c r="F189" s="13"/>
      <c r="G189" s="13"/>
      <c r="H189" s="13"/>
      <c r="I189" s="8"/>
      <c r="J189" s="8"/>
      <c r="K189" s="13"/>
      <c r="L189" s="164"/>
    </row>
    <row r="190" spans="1:12" x14ac:dyDescent="0.25">
      <c r="A190" s="110"/>
      <c r="B190" s="8"/>
      <c r="C190" s="8"/>
      <c r="D190" s="8"/>
      <c r="E190" s="13"/>
      <c r="F190" s="13"/>
      <c r="G190" s="13"/>
      <c r="H190" s="13"/>
      <c r="I190" s="8"/>
      <c r="J190" s="8"/>
      <c r="K190" s="13"/>
      <c r="L190" s="164"/>
    </row>
    <row r="191" spans="1:12" x14ac:dyDescent="0.25">
      <c r="A191" s="110"/>
      <c r="B191" s="8"/>
      <c r="C191" s="8"/>
      <c r="D191" s="8"/>
      <c r="E191" s="13"/>
      <c r="F191" s="13"/>
      <c r="G191" s="13"/>
      <c r="H191" s="13"/>
      <c r="I191" s="8"/>
      <c r="J191" s="8"/>
      <c r="K191" s="13"/>
      <c r="L191" s="164"/>
    </row>
    <row r="192" spans="1:12" x14ac:dyDescent="0.25">
      <c r="A192" s="110"/>
      <c r="B192" s="8"/>
      <c r="C192" s="8"/>
      <c r="D192" s="8"/>
      <c r="E192" s="13"/>
      <c r="F192" s="13"/>
      <c r="G192" s="13"/>
      <c r="H192" s="13"/>
      <c r="I192" s="8"/>
      <c r="J192" s="8"/>
      <c r="K192" s="13"/>
      <c r="L192" s="164"/>
    </row>
    <row r="193" spans="1:12" x14ac:dyDescent="0.25">
      <c r="A193" s="110"/>
      <c r="B193" s="8"/>
      <c r="C193" s="8"/>
      <c r="D193" s="8"/>
      <c r="E193" s="13"/>
      <c r="F193" s="13"/>
      <c r="G193" s="13"/>
      <c r="H193" s="13"/>
      <c r="I193" s="8"/>
      <c r="J193" s="8"/>
      <c r="K193" s="13"/>
      <c r="L193" s="164"/>
    </row>
    <row r="194" spans="1:12" x14ac:dyDescent="0.25">
      <c r="A194" s="110"/>
      <c r="B194" s="8"/>
      <c r="C194" s="8"/>
      <c r="D194" s="8"/>
      <c r="E194" s="13"/>
      <c r="F194" s="13"/>
      <c r="G194" s="13"/>
      <c r="H194" s="13"/>
      <c r="I194" s="8"/>
      <c r="J194" s="8"/>
      <c r="K194" s="13"/>
      <c r="L194" s="164"/>
    </row>
    <row r="195" spans="1:12" x14ac:dyDescent="0.25">
      <c r="A195" s="110"/>
      <c r="B195" s="8"/>
      <c r="C195" s="8"/>
      <c r="D195" s="8"/>
      <c r="E195" s="13"/>
      <c r="F195" s="13"/>
      <c r="G195" s="13"/>
      <c r="H195" s="13"/>
      <c r="I195" s="8"/>
      <c r="J195" s="8"/>
      <c r="K195" s="13"/>
      <c r="L195" s="164"/>
    </row>
    <row r="196" spans="1:12" x14ac:dyDescent="0.25">
      <c r="A196" s="110"/>
      <c r="B196" s="8"/>
      <c r="C196" s="8"/>
      <c r="D196" s="8"/>
      <c r="E196" s="13"/>
      <c r="F196" s="13"/>
      <c r="G196" s="13"/>
      <c r="H196" s="13"/>
      <c r="I196" s="8"/>
      <c r="J196" s="8"/>
      <c r="K196" s="13"/>
      <c r="L196" s="164"/>
    </row>
    <row r="197" spans="1:12" x14ac:dyDescent="0.25">
      <c r="A197" s="110"/>
      <c r="B197" s="8"/>
      <c r="C197" s="8"/>
      <c r="D197" s="8"/>
      <c r="E197" s="13"/>
      <c r="F197" s="13"/>
      <c r="G197" s="13"/>
      <c r="H197" s="13"/>
      <c r="I197" s="8"/>
      <c r="J197" s="8"/>
      <c r="K197" s="13"/>
      <c r="L197" s="164"/>
    </row>
    <row r="198" spans="1:12" x14ac:dyDescent="0.25">
      <c r="A198" s="110"/>
      <c r="B198" s="8"/>
      <c r="C198" s="8"/>
      <c r="D198" s="8"/>
      <c r="E198" s="13"/>
      <c r="F198" s="13"/>
      <c r="G198" s="13"/>
      <c r="H198" s="13"/>
      <c r="I198" s="8"/>
      <c r="J198" s="8"/>
      <c r="K198" s="13"/>
      <c r="L198" s="164"/>
    </row>
    <row r="199" spans="1:12" x14ac:dyDescent="0.25">
      <c r="A199" s="110"/>
      <c r="B199" s="8"/>
      <c r="C199" s="8"/>
      <c r="D199" s="8"/>
      <c r="E199" s="13"/>
      <c r="F199" s="13"/>
      <c r="G199" s="13"/>
      <c r="H199" s="13"/>
      <c r="I199" s="8"/>
      <c r="J199" s="8"/>
      <c r="K199" s="13"/>
      <c r="L199" s="164"/>
    </row>
    <row r="200" spans="1:12" x14ac:dyDescent="0.25">
      <c r="A200" s="110"/>
      <c r="B200" s="8"/>
      <c r="C200" s="8"/>
      <c r="D200" s="8"/>
      <c r="E200" s="13"/>
      <c r="F200" s="13"/>
      <c r="G200" s="13"/>
      <c r="H200" s="13"/>
      <c r="I200" s="8"/>
      <c r="J200" s="8"/>
      <c r="K200" s="13"/>
      <c r="L200" s="164"/>
    </row>
    <row r="201" spans="1:12" x14ac:dyDescent="0.25">
      <c r="A201" s="110"/>
      <c r="B201" s="8"/>
      <c r="C201" s="8"/>
      <c r="D201" s="8"/>
      <c r="E201" s="13"/>
      <c r="F201" s="13"/>
      <c r="G201" s="13"/>
      <c r="H201" s="13"/>
      <c r="I201" s="8"/>
      <c r="J201" s="8"/>
      <c r="K201" s="13"/>
      <c r="L201" s="164"/>
    </row>
    <row r="202" spans="1:12" x14ac:dyDescent="0.25">
      <c r="A202" s="110"/>
      <c r="B202" s="8"/>
      <c r="C202" s="8"/>
      <c r="D202" s="8"/>
      <c r="E202" s="13"/>
      <c r="F202" s="13"/>
      <c r="G202" s="13"/>
      <c r="H202" s="13"/>
      <c r="I202" s="8"/>
      <c r="J202" s="8"/>
      <c r="K202" s="13"/>
      <c r="L202" s="164"/>
    </row>
    <row r="203" spans="1:12" x14ac:dyDescent="0.25">
      <c r="A203" s="110"/>
      <c r="B203" s="8"/>
      <c r="C203" s="8"/>
      <c r="D203" s="8"/>
      <c r="E203" s="13"/>
      <c r="F203" s="13"/>
      <c r="G203" s="13"/>
      <c r="H203" s="13"/>
      <c r="I203" s="8"/>
      <c r="J203" s="8"/>
      <c r="K203" s="13"/>
      <c r="L203" s="164"/>
    </row>
    <row r="204" spans="1:12" x14ac:dyDescent="0.25">
      <c r="A204" s="110"/>
      <c r="B204" s="8"/>
      <c r="C204" s="8"/>
      <c r="D204" s="8"/>
      <c r="E204" s="13"/>
      <c r="F204" s="13"/>
      <c r="G204" s="13"/>
      <c r="H204" s="13"/>
      <c r="I204" s="8"/>
      <c r="J204" s="8"/>
      <c r="K204" s="13"/>
      <c r="L204" s="164"/>
    </row>
    <row r="205" spans="1:12" x14ac:dyDescent="0.25">
      <c r="A205" s="110"/>
      <c r="B205" s="8"/>
      <c r="C205" s="8"/>
      <c r="D205" s="8"/>
      <c r="E205" s="13"/>
      <c r="F205" s="13"/>
      <c r="G205" s="13"/>
      <c r="H205" s="13"/>
      <c r="I205" s="8"/>
      <c r="J205" s="8"/>
      <c r="K205" s="13"/>
      <c r="L205" s="164"/>
    </row>
    <row r="206" spans="1:12" x14ac:dyDescent="0.25">
      <c r="A206" s="110"/>
      <c r="B206" s="8"/>
      <c r="C206" s="8"/>
      <c r="D206" s="8"/>
      <c r="E206" s="13"/>
      <c r="F206" s="13"/>
      <c r="G206" s="13"/>
      <c r="H206" s="13"/>
      <c r="I206" s="8"/>
      <c r="J206" s="8"/>
      <c r="K206" s="13"/>
      <c r="L206" s="164"/>
    </row>
    <row r="207" spans="1:12" x14ac:dyDescent="0.25">
      <c r="A207" s="110"/>
      <c r="B207" s="8"/>
      <c r="C207" s="8"/>
      <c r="D207" s="8"/>
      <c r="E207" s="13"/>
      <c r="F207" s="13"/>
      <c r="G207" s="13"/>
      <c r="H207" s="13"/>
      <c r="I207" s="8"/>
      <c r="J207" s="8"/>
      <c r="K207" s="13"/>
      <c r="L207" s="164"/>
    </row>
    <row r="208" spans="1:12" x14ac:dyDescent="0.25">
      <c r="A208" s="110"/>
      <c r="B208" s="8"/>
      <c r="C208" s="8"/>
      <c r="D208" s="8"/>
      <c r="E208" s="13"/>
      <c r="F208" s="13"/>
      <c r="G208" s="13"/>
      <c r="H208" s="13"/>
      <c r="I208" s="8"/>
      <c r="J208" s="8"/>
      <c r="K208" s="13"/>
      <c r="L208" s="164"/>
    </row>
    <row r="209" spans="1:12" x14ac:dyDescent="0.25">
      <c r="A209" s="110"/>
      <c r="B209" s="8"/>
      <c r="C209" s="8"/>
      <c r="D209" s="8"/>
      <c r="E209" s="13"/>
      <c r="F209" s="13"/>
      <c r="G209" s="13"/>
      <c r="H209" s="13"/>
      <c r="I209" s="8"/>
      <c r="J209" s="8"/>
      <c r="K209" s="13"/>
      <c r="L209" s="164"/>
    </row>
    <row r="210" spans="1:12" x14ac:dyDescent="0.25">
      <c r="A210" s="110"/>
      <c r="B210" s="8"/>
      <c r="C210" s="8"/>
      <c r="D210" s="8"/>
      <c r="E210" s="13"/>
      <c r="F210" s="13"/>
      <c r="G210" s="13"/>
      <c r="H210" s="13"/>
      <c r="I210" s="8"/>
      <c r="J210" s="8"/>
      <c r="K210" s="13"/>
      <c r="L210" s="164"/>
    </row>
    <row r="211" spans="1:12" x14ac:dyDescent="0.25">
      <c r="A211" s="110"/>
      <c r="B211" s="8"/>
      <c r="C211" s="8"/>
      <c r="D211" s="8"/>
      <c r="E211" s="13"/>
      <c r="F211" s="13"/>
      <c r="G211" s="13"/>
      <c r="H211" s="13"/>
      <c r="I211" s="8"/>
      <c r="J211" s="8"/>
      <c r="K211" s="13"/>
      <c r="L211" s="164"/>
    </row>
    <row r="212" spans="1:12" x14ac:dyDescent="0.25">
      <c r="A212" s="110"/>
      <c r="B212" s="8"/>
      <c r="C212" s="8"/>
      <c r="D212" s="8"/>
      <c r="E212" s="13"/>
      <c r="F212" s="13"/>
      <c r="G212" s="13"/>
      <c r="H212" s="13"/>
      <c r="I212" s="8"/>
      <c r="J212" s="8"/>
      <c r="K212" s="13"/>
      <c r="L212" s="164"/>
    </row>
    <row r="213" spans="1:12" x14ac:dyDescent="0.25">
      <c r="A213" s="110"/>
      <c r="B213" s="8"/>
      <c r="C213" s="8"/>
      <c r="D213" s="8"/>
      <c r="E213" s="13"/>
      <c r="F213" s="13"/>
      <c r="G213" s="13"/>
      <c r="H213" s="13"/>
      <c r="I213" s="8"/>
      <c r="J213" s="8"/>
      <c r="K213" s="13"/>
      <c r="L213" s="164"/>
    </row>
    <row r="214" spans="1:12" x14ac:dyDescent="0.25">
      <c r="A214" s="110"/>
      <c r="B214" s="8"/>
      <c r="C214" s="8"/>
      <c r="D214" s="8"/>
      <c r="E214" s="13"/>
      <c r="F214" s="13"/>
      <c r="G214" s="13"/>
      <c r="H214" s="13"/>
      <c r="I214" s="8"/>
      <c r="J214" s="8"/>
      <c r="K214" s="13"/>
      <c r="L214" s="164"/>
    </row>
    <row r="215" spans="1:12" x14ac:dyDescent="0.25">
      <c r="A215" s="110"/>
      <c r="B215" s="8"/>
      <c r="C215" s="8"/>
      <c r="D215" s="8"/>
      <c r="E215" s="13"/>
      <c r="F215" s="13"/>
      <c r="G215" s="13"/>
      <c r="H215" s="13"/>
      <c r="I215" s="8"/>
      <c r="J215" s="8"/>
      <c r="K215" s="13"/>
      <c r="L215" s="164"/>
    </row>
    <row r="216" spans="1:12" x14ac:dyDescent="0.25">
      <c r="A216" s="110"/>
      <c r="B216" s="8"/>
      <c r="C216" s="8"/>
      <c r="D216" s="8"/>
      <c r="E216" s="13"/>
      <c r="F216" s="13"/>
      <c r="G216" s="13"/>
      <c r="H216" s="13"/>
      <c r="I216" s="8"/>
      <c r="J216" s="8"/>
      <c r="K216" s="13"/>
      <c r="L216" s="164"/>
    </row>
    <row r="217" spans="1:12" x14ac:dyDescent="0.25">
      <c r="A217" s="110"/>
      <c r="B217" s="8"/>
      <c r="C217" s="8"/>
      <c r="D217" s="8"/>
      <c r="E217" s="13"/>
      <c r="F217" s="13"/>
      <c r="G217" s="13"/>
      <c r="H217" s="13"/>
      <c r="I217" s="8"/>
      <c r="J217" s="8"/>
      <c r="K217" s="13"/>
      <c r="L217" s="164"/>
    </row>
    <row r="218" spans="1:12" x14ac:dyDescent="0.25">
      <c r="A218" s="110"/>
      <c r="B218" s="8"/>
      <c r="C218" s="8"/>
      <c r="D218" s="8"/>
      <c r="E218" s="13"/>
      <c r="F218" s="13"/>
      <c r="G218" s="13"/>
      <c r="H218" s="13"/>
      <c r="I218" s="8"/>
      <c r="J218" s="8"/>
      <c r="K218" s="13"/>
      <c r="L218" s="164"/>
    </row>
    <row r="219" spans="1:12" x14ac:dyDescent="0.25">
      <c r="A219" s="110"/>
      <c r="B219" s="8"/>
      <c r="C219" s="8"/>
      <c r="D219" s="8"/>
      <c r="E219" s="13"/>
      <c r="F219" s="13"/>
      <c r="G219" s="13"/>
      <c r="H219" s="13"/>
      <c r="I219" s="8"/>
      <c r="J219" s="8"/>
      <c r="K219" s="13"/>
      <c r="L219" s="164"/>
    </row>
    <row r="220" spans="1:12" x14ac:dyDescent="0.25">
      <c r="A220" s="110"/>
      <c r="B220" s="8"/>
      <c r="C220" s="8"/>
      <c r="D220" s="8"/>
      <c r="E220" s="13"/>
      <c r="F220" s="13"/>
      <c r="G220" s="13"/>
      <c r="H220" s="13"/>
      <c r="I220" s="8"/>
      <c r="J220" s="8"/>
      <c r="K220" s="13"/>
      <c r="L220" s="164"/>
    </row>
    <row r="221" spans="1:12" x14ac:dyDescent="0.25">
      <c r="A221" s="110"/>
      <c r="B221" s="8"/>
      <c r="C221" s="8"/>
      <c r="D221" s="8"/>
      <c r="E221" s="13"/>
      <c r="F221" s="13"/>
      <c r="G221" s="13"/>
      <c r="H221" s="13"/>
      <c r="I221" s="8"/>
      <c r="J221" s="8"/>
      <c r="K221" s="13"/>
      <c r="L221" s="164"/>
    </row>
    <row r="222" spans="1:12" x14ac:dyDescent="0.25">
      <c r="A222" s="110"/>
      <c r="B222" s="8"/>
      <c r="C222" s="8"/>
      <c r="D222" s="8"/>
      <c r="E222" s="13"/>
      <c r="F222" s="13"/>
      <c r="G222" s="13"/>
      <c r="H222" s="13"/>
      <c r="I222" s="8"/>
      <c r="J222" s="8"/>
      <c r="K222" s="13"/>
      <c r="L222" s="164"/>
    </row>
    <row r="223" spans="1:12" x14ac:dyDescent="0.25">
      <c r="A223" s="110"/>
      <c r="B223" s="8"/>
      <c r="C223" s="8"/>
      <c r="D223" s="8"/>
      <c r="E223" s="13"/>
      <c r="F223" s="13"/>
      <c r="G223" s="13"/>
      <c r="H223" s="13"/>
      <c r="I223" s="8"/>
      <c r="J223" s="8"/>
      <c r="K223" s="13"/>
      <c r="L223" s="164"/>
    </row>
    <row r="224" spans="1:12" x14ac:dyDescent="0.25">
      <c r="A224" s="110"/>
      <c r="B224" s="8"/>
      <c r="C224" s="8"/>
      <c r="D224" s="8"/>
      <c r="E224" s="13"/>
      <c r="F224" s="13"/>
      <c r="G224" s="13"/>
      <c r="H224" s="13"/>
      <c r="I224" s="8"/>
      <c r="J224" s="8"/>
      <c r="K224" s="13"/>
      <c r="L224" s="164"/>
    </row>
    <row r="225" spans="1:12" x14ac:dyDescent="0.25">
      <c r="A225" s="110"/>
      <c r="B225" s="8"/>
      <c r="C225" s="8"/>
      <c r="D225" s="8"/>
      <c r="E225" s="13"/>
      <c r="F225" s="13"/>
      <c r="G225" s="13"/>
      <c r="H225" s="13"/>
      <c r="I225" s="8"/>
      <c r="J225" s="8"/>
      <c r="K225" s="13"/>
      <c r="L225" s="164"/>
    </row>
    <row r="226" spans="1:12" x14ac:dyDescent="0.25">
      <c r="A226" s="110"/>
      <c r="B226" s="8"/>
      <c r="C226" s="8"/>
      <c r="D226" s="8"/>
      <c r="E226" s="13"/>
      <c r="F226" s="13"/>
      <c r="G226" s="13"/>
      <c r="H226" s="13"/>
      <c r="I226" s="8"/>
      <c r="J226" s="8"/>
      <c r="K226" s="13"/>
      <c r="L226" s="164"/>
    </row>
    <row r="227" spans="1:12" x14ac:dyDescent="0.25">
      <c r="A227" s="110"/>
      <c r="B227" s="8"/>
      <c r="C227" s="8"/>
      <c r="D227" s="8"/>
      <c r="E227" s="13"/>
      <c r="F227" s="13"/>
      <c r="G227" s="13"/>
      <c r="H227" s="13"/>
      <c r="I227" s="8"/>
      <c r="J227" s="8"/>
      <c r="K227" s="13"/>
      <c r="L227" s="164"/>
    </row>
    <row r="228" spans="1:12" x14ac:dyDescent="0.25">
      <c r="A228" s="110"/>
      <c r="B228" s="8"/>
      <c r="C228" s="8"/>
      <c r="D228" s="8"/>
      <c r="E228" s="13"/>
      <c r="F228" s="13"/>
      <c r="G228" s="13"/>
      <c r="H228" s="13"/>
      <c r="I228" s="8"/>
      <c r="J228" s="8"/>
      <c r="K228" s="13"/>
      <c r="L228" s="164"/>
    </row>
    <row r="229" spans="1:12" x14ac:dyDescent="0.25">
      <c r="A229" s="110"/>
      <c r="B229" s="8"/>
      <c r="C229" s="8"/>
      <c r="D229" s="8"/>
      <c r="E229" s="13"/>
      <c r="F229" s="13"/>
      <c r="G229" s="13"/>
      <c r="H229" s="13"/>
      <c r="I229" s="8"/>
      <c r="J229" s="8"/>
      <c r="K229" s="13"/>
      <c r="L229" s="164"/>
    </row>
    <row r="230" spans="1:12" x14ac:dyDescent="0.25">
      <c r="A230" s="110"/>
      <c r="B230" s="8"/>
      <c r="C230" s="8"/>
      <c r="D230" s="8"/>
      <c r="E230" s="13"/>
      <c r="F230" s="13"/>
      <c r="G230" s="13"/>
      <c r="H230" s="13"/>
      <c r="I230" s="8"/>
      <c r="J230" s="8"/>
      <c r="K230" s="13"/>
      <c r="L230" s="164"/>
    </row>
    <row r="231" spans="1:12" x14ac:dyDescent="0.25">
      <c r="A231" s="110"/>
      <c r="B231" s="8"/>
      <c r="C231" s="8"/>
      <c r="D231" s="8"/>
      <c r="E231" s="13"/>
      <c r="F231" s="13"/>
      <c r="G231" s="13"/>
      <c r="H231" s="13"/>
      <c r="I231" s="8"/>
      <c r="J231" s="8"/>
      <c r="K231" s="13"/>
      <c r="L231" s="164"/>
    </row>
    <row r="232" spans="1:12" x14ac:dyDescent="0.25">
      <c r="A232" s="110"/>
      <c r="B232" s="8"/>
      <c r="C232" s="8"/>
      <c r="D232" s="8"/>
      <c r="E232" s="13"/>
      <c r="F232" s="13"/>
      <c r="G232" s="13"/>
      <c r="H232" s="13"/>
      <c r="I232" s="8"/>
      <c r="J232" s="8"/>
      <c r="K232" s="13"/>
      <c r="L232" s="164"/>
    </row>
    <row r="233" spans="1:12" x14ac:dyDescent="0.25">
      <c r="A233" s="110"/>
      <c r="B233" s="8"/>
      <c r="C233" s="8"/>
      <c r="D233" s="8"/>
      <c r="E233" s="13"/>
      <c r="F233" s="13"/>
      <c r="G233" s="13"/>
      <c r="H233" s="13"/>
      <c r="I233" s="8"/>
      <c r="J233" s="8"/>
      <c r="K233" s="13"/>
      <c r="L233" s="164"/>
    </row>
    <row r="234" spans="1:12" x14ac:dyDescent="0.25">
      <c r="A234" s="110"/>
      <c r="B234" s="8"/>
      <c r="C234" s="8"/>
      <c r="D234" s="8"/>
      <c r="E234" s="13"/>
      <c r="F234" s="13"/>
      <c r="G234" s="13"/>
      <c r="H234" s="13"/>
      <c r="I234" s="8"/>
      <c r="J234" s="8"/>
      <c r="K234" s="13"/>
      <c r="L234" s="164"/>
    </row>
    <row r="235" spans="1:12" x14ac:dyDescent="0.25">
      <c r="A235" s="110"/>
      <c r="B235" s="8"/>
      <c r="C235" s="8"/>
      <c r="D235" s="8"/>
      <c r="E235" s="13"/>
      <c r="F235" s="13"/>
      <c r="G235" s="13"/>
      <c r="H235" s="13"/>
      <c r="I235" s="8"/>
      <c r="J235" s="8"/>
      <c r="K235" s="13"/>
      <c r="L235" s="164"/>
    </row>
    <row r="236" spans="1:12" x14ac:dyDescent="0.25">
      <c r="A236" s="110"/>
      <c r="B236" s="8"/>
      <c r="C236" s="8"/>
      <c r="D236" s="8"/>
      <c r="E236" s="13"/>
      <c r="F236" s="13"/>
      <c r="G236" s="13"/>
      <c r="H236" s="13"/>
      <c r="I236" s="8"/>
      <c r="J236" s="8"/>
      <c r="K236" s="13"/>
      <c r="L236" s="164"/>
    </row>
    <row r="237" spans="1:12" x14ac:dyDescent="0.25">
      <c r="A237" s="110"/>
      <c r="B237" s="8"/>
      <c r="C237" s="8"/>
      <c r="D237" s="8"/>
      <c r="E237" s="13"/>
      <c r="F237" s="13"/>
      <c r="G237" s="13"/>
      <c r="H237" s="13"/>
      <c r="I237" s="8"/>
      <c r="J237" s="8"/>
      <c r="K237" s="13"/>
      <c r="L237" s="164"/>
    </row>
    <row r="238" spans="1:12" x14ac:dyDescent="0.25">
      <c r="A238" s="110"/>
      <c r="B238" s="8"/>
      <c r="C238" s="8"/>
      <c r="D238" s="8"/>
      <c r="E238" s="13"/>
      <c r="F238" s="13"/>
      <c r="G238" s="13"/>
      <c r="H238" s="13"/>
      <c r="I238" s="8"/>
      <c r="J238" s="8"/>
      <c r="K238" s="13"/>
      <c r="L238" s="164"/>
    </row>
    <row r="239" spans="1:12" x14ac:dyDescent="0.25">
      <c r="A239" s="110"/>
      <c r="B239" s="8"/>
      <c r="C239" s="8"/>
      <c r="D239" s="8"/>
      <c r="E239" s="13"/>
      <c r="F239" s="13"/>
      <c r="G239" s="13"/>
      <c r="H239" s="13"/>
      <c r="I239" s="8"/>
      <c r="J239" s="8"/>
      <c r="K239" s="13"/>
      <c r="L239" s="164"/>
    </row>
    <row r="240" spans="1:12" x14ac:dyDescent="0.25">
      <c r="A240" s="110"/>
      <c r="B240" s="8"/>
      <c r="C240" s="8"/>
      <c r="D240" s="8"/>
      <c r="E240" s="13"/>
      <c r="F240" s="13"/>
      <c r="G240" s="13"/>
      <c r="H240" s="13"/>
      <c r="I240" s="8"/>
      <c r="J240" s="8"/>
      <c r="K240" s="13"/>
      <c r="L240" s="164"/>
    </row>
    <row r="241" spans="1:12" x14ac:dyDescent="0.25">
      <c r="A241" s="110"/>
      <c r="B241" s="8"/>
      <c r="C241" s="8"/>
      <c r="D241" s="8"/>
      <c r="E241" s="13"/>
      <c r="F241" s="13"/>
      <c r="G241" s="13"/>
      <c r="H241" s="13"/>
      <c r="I241" s="8"/>
      <c r="J241" s="8"/>
      <c r="K241" s="13"/>
      <c r="L241" s="164"/>
    </row>
    <row r="242" spans="1:12" x14ac:dyDescent="0.25">
      <c r="A242" s="110"/>
      <c r="B242" s="8"/>
      <c r="C242" s="8"/>
      <c r="D242" s="8"/>
      <c r="E242" s="13"/>
      <c r="F242" s="13"/>
      <c r="G242" s="13"/>
      <c r="H242" s="13"/>
      <c r="I242" s="8"/>
      <c r="J242" s="8"/>
      <c r="K242" s="13"/>
      <c r="L242" s="164"/>
    </row>
    <row r="243" spans="1:12" x14ac:dyDescent="0.25">
      <c r="A243" s="110"/>
      <c r="B243" s="8"/>
      <c r="C243" s="8"/>
      <c r="D243" s="8"/>
      <c r="E243" s="13"/>
      <c r="F243" s="13"/>
      <c r="G243" s="13"/>
      <c r="H243" s="13"/>
      <c r="I243" s="8"/>
      <c r="J243" s="8"/>
      <c r="K243" s="13"/>
      <c r="L243" s="164"/>
    </row>
    <row r="244" spans="1:12" x14ac:dyDescent="0.25">
      <c r="A244" s="110"/>
      <c r="B244" s="8"/>
      <c r="C244" s="8"/>
      <c r="D244" s="8"/>
      <c r="E244" s="13"/>
      <c r="F244" s="13"/>
      <c r="G244" s="13"/>
      <c r="H244" s="13"/>
      <c r="I244" s="8"/>
      <c r="J244" s="8"/>
      <c r="K244" s="13"/>
      <c r="L244" s="164"/>
    </row>
    <row r="245" spans="1:12" x14ac:dyDescent="0.25">
      <c r="A245" s="110"/>
      <c r="B245" s="8"/>
      <c r="C245" s="8"/>
      <c r="D245" s="8"/>
      <c r="E245" s="13"/>
      <c r="F245" s="13"/>
      <c r="G245" s="13"/>
      <c r="H245" s="13"/>
      <c r="I245" s="8"/>
      <c r="J245" s="8"/>
      <c r="K245" s="13"/>
      <c r="L245" s="164"/>
    </row>
    <row r="246" spans="1:12" x14ac:dyDescent="0.25">
      <c r="A246" s="110"/>
      <c r="B246" s="8"/>
      <c r="C246" s="8"/>
      <c r="D246" s="8"/>
      <c r="E246" s="13"/>
      <c r="F246" s="13"/>
      <c r="G246" s="13"/>
      <c r="H246" s="13"/>
      <c r="I246" s="8"/>
      <c r="J246" s="8"/>
      <c r="K246" s="13"/>
      <c r="L246" s="164"/>
    </row>
    <row r="247" spans="1:12" x14ac:dyDescent="0.25">
      <c r="A247" s="110"/>
      <c r="B247" s="8"/>
      <c r="C247" s="8"/>
      <c r="D247" s="8"/>
      <c r="E247" s="13"/>
      <c r="F247" s="13"/>
      <c r="G247" s="13"/>
      <c r="H247" s="13"/>
      <c r="I247" s="8"/>
      <c r="J247" s="8"/>
      <c r="K247" s="13"/>
      <c r="L247" s="164"/>
    </row>
    <row r="248" spans="1:12" x14ac:dyDescent="0.25">
      <c r="A248" s="110"/>
      <c r="B248" s="8"/>
      <c r="C248" s="8"/>
      <c r="D248" s="8"/>
      <c r="E248" s="13"/>
      <c r="F248" s="13"/>
      <c r="G248" s="13"/>
      <c r="H248" s="13"/>
      <c r="I248" s="8"/>
      <c r="J248" s="8"/>
      <c r="K248" s="13"/>
      <c r="L248" s="164"/>
    </row>
    <row r="249" spans="1:12" x14ac:dyDescent="0.25">
      <c r="A249" s="110"/>
      <c r="B249" s="8"/>
      <c r="C249" s="8"/>
      <c r="D249" s="8"/>
      <c r="E249" s="13"/>
      <c r="F249" s="13"/>
      <c r="G249" s="13"/>
      <c r="H249" s="13"/>
      <c r="I249" s="8"/>
      <c r="J249" s="8"/>
      <c r="K249" s="13"/>
      <c r="L249" s="164"/>
    </row>
    <row r="250" spans="1:12" x14ac:dyDescent="0.25">
      <c r="A250" s="110"/>
      <c r="B250" s="8"/>
      <c r="C250" s="8"/>
      <c r="D250" s="8"/>
      <c r="E250" s="13"/>
      <c r="F250" s="13"/>
      <c r="G250" s="13"/>
      <c r="H250" s="13"/>
      <c r="I250" s="8"/>
      <c r="J250" s="8"/>
      <c r="K250" s="13"/>
      <c r="L250" s="164"/>
    </row>
    <row r="251" spans="1:12" x14ac:dyDescent="0.25">
      <c r="A251" s="110"/>
      <c r="B251" s="8"/>
      <c r="C251" s="8"/>
      <c r="D251" s="8"/>
      <c r="E251" s="13"/>
      <c r="F251" s="13"/>
      <c r="G251" s="13"/>
      <c r="H251" s="13"/>
      <c r="I251" s="8"/>
      <c r="J251" s="8"/>
      <c r="K251" s="13"/>
      <c r="L251" s="164"/>
    </row>
    <row r="252" spans="1:12" x14ac:dyDescent="0.25">
      <c r="A252" s="110"/>
      <c r="B252" s="8"/>
      <c r="C252" s="8"/>
      <c r="D252" s="8"/>
      <c r="E252" s="13"/>
      <c r="F252" s="13"/>
      <c r="G252" s="13"/>
      <c r="H252" s="13"/>
      <c r="I252" s="8"/>
      <c r="J252" s="8"/>
      <c r="K252" s="13"/>
      <c r="L252" s="164"/>
    </row>
    <row r="253" spans="1:12" x14ac:dyDescent="0.25">
      <c r="A253" s="110"/>
      <c r="B253" s="8"/>
      <c r="C253" s="8"/>
      <c r="D253" s="8"/>
      <c r="E253" s="13"/>
      <c r="F253" s="13"/>
      <c r="G253" s="13"/>
      <c r="H253" s="13"/>
      <c r="I253" s="8"/>
      <c r="J253" s="8"/>
      <c r="K253" s="13"/>
      <c r="L253" s="164"/>
    </row>
    <row r="254" spans="1:12" x14ac:dyDescent="0.25">
      <c r="A254" s="110"/>
      <c r="B254" s="8"/>
      <c r="C254" s="8"/>
      <c r="D254" s="8"/>
      <c r="E254" s="13"/>
      <c r="F254" s="13"/>
      <c r="G254" s="13"/>
      <c r="H254" s="13"/>
      <c r="I254" s="8"/>
      <c r="J254" s="8"/>
      <c r="K254" s="13"/>
      <c r="L254" s="164"/>
    </row>
    <row r="255" spans="1:12" x14ac:dyDescent="0.25">
      <c r="A255" s="110"/>
      <c r="B255" s="8"/>
      <c r="C255" s="8"/>
      <c r="D255" s="8"/>
      <c r="E255" s="13"/>
      <c r="F255" s="13"/>
      <c r="G255" s="13"/>
      <c r="H255" s="13"/>
      <c r="I255" s="8"/>
      <c r="J255" s="8"/>
      <c r="K255" s="13"/>
      <c r="L255" s="164"/>
    </row>
    <row r="256" spans="1:12" x14ac:dyDescent="0.25">
      <c r="A256" s="110"/>
      <c r="B256" s="8"/>
      <c r="C256" s="8"/>
      <c r="D256" s="8"/>
      <c r="E256" s="13"/>
      <c r="F256" s="13"/>
      <c r="G256" s="13"/>
      <c r="H256" s="13"/>
      <c r="I256" s="8"/>
      <c r="J256" s="8"/>
      <c r="K256" s="13"/>
      <c r="L256" s="164"/>
    </row>
    <row r="257" spans="1:12" x14ac:dyDescent="0.25">
      <c r="A257" s="110"/>
      <c r="B257" s="8"/>
      <c r="C257" s="8"/>
      <c r="D257" s="8"/>
      <c r="E257" s="13"/>
      <c r="F257" s="13"/>
      <c r="G257" s="13"/>
      <c r="H257" s="13"/>
      <c r="I257" s="8"/>
      <c r="J257" s="8"/>
      <c r="K257" s="13"/>
      <c r="L257" s="164"/>
    </row>
    <row r="258" spans="1:12" x14ac:dyDescent="0.25">
      <c r="A258" s="110"/>
      <c r="B258" s="8"/>
      <c r="C258" s="8"/>
      <c r="D258" s="8"/>
      <c r="E258" s="13"/>
      <c r="F258" s="13"/>
      <c r="G258" s="13"/>
      <c r="H258" s="13"/>
      <c r="I258" s="8"/>
      <c r="J258" s="8"/>
      <c r="K258" s="13"/>
      <c r="L258" s="164"/>
    </row>
    <row r="259" spans="1:12" x14ac:dyDescent="0.25">
      <c r="A259" s="110"/>
      <c r="B259" s="8"/>
      <c r="C259" s="8"/>
      <c r="D259" s="8"/>
      <c r="E259" s="13"/>
      <c r="F259" s="13"/>
      <c r="G259" s="13"/>
      <c r="H259" s="13"/>
      <c r="I259" s="8"/>
      <c r="J259" s="8"/>
      <c r="K259" s="13"/>
      <c r="L259" s="164"/>
    </row>
    <row r="260" spans="1:12" x14ac:dyDescent="0.25">
      <c r="A260" s="110"/>
      <c r="B260" s="8"/>
      <c r="C260" s="8"/>
      <c r="D260" s="8"/>
      <c r="E260" s="13"/>
      <c r="F260" s="13"/>
      <c r="G260" s="13"/>
      <c r="H260" s="13"/>
      <c r="I260" s="8"/>
      <c r="J260" s="8"/>
      <c r="K260" s="13"/>
      <c r="L260" s="164"/>
    </row>
    <row r="261" spans="1:12" x14ac:dyDescent="0.25">
      <c r="A261" s="110"/>
      <c r="B261" s="8"/>
      <c r="C261" s="8"/>
      <c r="D261" s="8"/>
      <c r="E261" s="13"/>
      <c r="F261" s="13"/>
      <c r="G261" s="13"/>
      <c r="H261" s="13"/>
      <c r="I261" s="8"/>
      <c r="J261" s="8"/>
      <c r="K261" s="13"/>
      <c r="L261" s="164"/>
    </row>
    <row r="262" spans="1:12" x14ac:dyDescent="0.25">
      <c r="A262" s="110"/>
      <c r="B262" s="8"/>
      <c r="C262" s="8"/>
      <c r="D262" s="8"/>
      <c r="E262" s="13"/>
      <c r="F262" s="13"/>
      <c r="G262" s="13"/>
      <c r="H262" s="13"/>
      <c r="I262" s="8"/>
      <c r="J262" s="8"/>
      <c r="K262" s="13"/>
      <c r="L262" s="164"/>
    </row>
    <row r="263" spans="1:12" x14ac:dyDescent="0.25">
      <c r="A263" s="110"/>
      <c r="B263" s="8"/>
      <c r="C263" s="8"/>
      <c r="D263" s="8"/>
      <c r="E263" s="13"/>
      <c r="F263" s="13"/>
      <c r="G263" s="13"/>
      <c r="H263" s="13"/>
      <c r="I263" s="8"/>
      <c r="J263" s="8"/>
      <c r="K263" s="13"/>
      <c r="L263" s="164"/>
    </row>
    <row r="264" spans="1:12" x14ac:dyDescent="0.25">
      <c r="A264" s="110"/>
      <c r="B264" s="8"/>
      <c r="C264" s="8"/>
      <c r="D264" s="8"/>
      <c r="E264" s="13"/>
      <c r="F264" s="13"/>
      <c r="G264" s="13"/>
      <c r="H264" s="13"/>
      <c r="I264" s="8"/>
      <c r="J264" s="8"/>
      <c r="K264" s="13"/>
      <c r="L264" s="164"/>
    </row>
    <row r="265" spans="1:12" x14ac:dyDescent="0.25">
      <c r="A265" s="110"/>
      <c r="B265" s="8"/>
      <c r="C265" s="8"/>
      <c r="D265" s="8"/>
      <c r="E265" s="13"/>
      <c r="F265" s="13"/>
      <c r="G265" s="13"/>
      <c r="H265" s="13"/>
      <c r="I265" s="8"/>
      <c r="J265" s="8"/>
      <c r="K265" s="13"/>
      <c r="L265" s="164"/>
    </row>
    <row r="266" spans="1:12" x14ac:dyDescent="0.25">
      <c r="A266" s="110"/>
      <c r="B266" s="8"/>
      <c r="C266" s="8"/>
      <c r="D266" s="8"/>
      <c r="E266" s="13"/>
      <c r="F266" s="13"/>
      <c r="G266" s="13"/>
      <c r="H266" s="13"/>
      <c r="I266" s="8"/>
      <c r="J266" s="8"/>
      <c r="K266" s="13"/>
      <c r="L266" s="164"/>
    </row>
    <row r="267" spans="1:12" x14ac:dyDescent="0.25">
      <c r="A267" s="110"/>
      <c r="B267" s="8"/>
      <c r="C267" s="8"/>
      <c r="D267" s="8"/>
      <c r="E267" s="13"/>
      <c r="F267" s="13"/>
      <c r="G267" s="13"/>
      <c r="H267" s="13"/>
      <c r="I267" s="8"/>
      <c r="J267" s="8"/>
      <c r="K267" s="13"/>
      <c r="L267" s="164"/>
    </row>
    <row r="268" spans="1:12" x14ac:dyDescent="0.25">
      <c r="A268" s="110"/>
      <c r="B268" s="8"/>
      <c r="C268" s="8"/>
      <c r="D268" s="8"/>
      <c r="E268" s="13"/>
      <c r="F268" s="13"/>
      <c r="G268" s="13"/>
      <c r="H268" s="13"/>
      <c r="I268" s="8"/>
      <c r="J268" s="8"/>
      <c r="K268" s="13"/>
      <c r="L268" s="164"/>
    </row>
    <row r="269" spans="1:12" x14ac:dyDescent="0.25">
      <c r="A269" s="110"/>
      <c r="B269" s="8"/>
      <c r="C269" s="8"/>
      <c r="D269" s="8"/>
      <c r="E269" s="13"/>
      <c r="F269" s="13"/>
      <c r="G269" s="13"/>
      <c r="H269" s="13"/>
      <c r="I269" s="8"/>
      <c r="J269" s="8"/>
      <c r="K269" s="13"/>
      <c r="L269" s="164"/>
    </row>
    <row r="270" spans="1:12" x14ac:dyDescent="0.25">
      <c r="A270" s="110"/>
      <c r="B270" s="8"/>
      <c r="C270" s="8"/>
      <c r="D270" s="8"/>
      <c r="E270" s="13"/>
      <c r="F270" s="13"/>
      <c r="G270" s="13"/>
      <c r="H270" s="13"/>
      <c r="I270" s="8"/>
      <c r="J270" s="8"/>
      <c r="K270" s="13"/>
      <c r="L270" s="164"/>
    </row>
    <row r="271" spans="1:12" x14ac:dyDescent="0.25">
      <c r="A271" s="110"/>
      <c r="B271" s="8"/>
      <c r="C271" s="8"/>
      <c r="D271" s="8"/>
      <c r="E271" s="13"/>
      <c r="F271" s="13"/>
      <c r="G271" s="13"/>
      <c r="H271" s="13"/>
      <c r="I271" s="8"/>
      <c r="J271" s="8"/>
      <c r="K271" s="13"/>
      <c r="L271" s="164"/>
    </row>
    <row r="272" spans="1:12" x14ac:dyDescent="0.25">
      <c r="A272" s="110"/>
      <c r="B272" s="8"/>
      <c r="C272" s="8"/>
      <c r="D272" s="8"/>
      <c r="E272" s="13"/>
      <c r="F272" s="13"/>
      <c r="G272" s="13"/>
      <c r="H272" s="13"/>
      <c r="I272" s="8"/>
      <c r="J272" s="8"/>
      <c r="K272" s="13"/>
      <c r="L272" s="164"/>
    </row>
    <row r="273" spans="1:12" x14ac:dyDescent="0.25">
      <c r="A273" s="110"/>
      <c r="B273" s="8"/>
      <c r="C273" s="8"/>
      <c r="D273" s="8"/>
      <c r="E273" s="13"/>
      <c r="F273" s="13"/>
      <c r="G273" s="13"/>
      <c r="H273" s="13"/>
      <c r="I273" s="8"/>
      <c r="J273" s="8"/>
      <c r="K273" s="13"/>
      <c r="L273" s="164"/>
    </row>
    <row r="274" spans="1:12" x14ac:dyDescent="0.25">
      <c r="A274" s="110"/>
      <c r="B274" s="8"/>
      <c r="C274" s="8"/>
      <c r="D274" s="8"/>
      <c r="E274" s="13"/>
      <c r="F274" s="13"/>
      <c r="G274" s="13"/>
      <c r="H274" s="13"/>
      <c r="I274" s="8"/>
      <c r="J274" s="8"/>
      <c r="K274" s="13"/>
      <c r="L274" s="164"/>
    </row>
    <row r="275" spans="1:12" x14ac:dyDescent="0.25">
      <c r="A275" s="110"/>
      <c r="B275" s="8"/>
      <c r="C275" s="8"/>
      <c r="D275" s="8"/>
      <c r="E275" s="13"/>
      <c r="F275" s="13"/>
      <c r="G275" s="13"/>
      <c r="H275" s="13"/>
      <c r="I275" s="8"/>
      <c r="J275" s="8"/>
      <c r="K275" s="13"/>
      <c r="L275" s="164"/>
    </row>
    <row r="276" spans="1:12" x14ac:dyDescent="0.25">
      <c r="A276" s="110"/>
      <c r="B276" s="8"/>
      <c r="C276" s="8"/>
      <c r="D276" s="8"/>
      <c r="E276" s="13"/>
      <c r="F276" s="13"/>
      <c r="G276" s="13"/>
      <c r="H276" s="13"/>
      <c r="I276" s="8"/>
      <c r="J276" s="8"/>
      <c r="K276" s="13"/>
      <c r="L276" s="164"/>
    </row>
    <row r="277" spans="1:12" x14ac:dyDescent="0.25">
      <c r="A277" s="110"/>
      <c r="B277" s="8"/>
      <c r="C277" s="8"/>
      <c r="D277" s="8"/>
      <c r="E277" s="13"/>
      <c r="F277" s="13"/>
      <c r="G277" s="13"/>
      <c r="H277" s="13"/>
      <c r="I277" s="8"/>
      <c r="J277" s="8"/>
      <c r="K277" s="13"/>
      <c r="L277" s="164"/>
    </row>
    <row r="278" spans="1:12" x14ac:dyDescent="0.25">
      <c r="A278" s="110"/>
      <c r="B278" s="8"/>
      <c r="C278" s="8"/>
      <c r="D278" s="8"/>
      <c r="E278" s="13"/>
      <c r="F278" s="13"/>
      <c r="G278" s="13"/>
      <c r="H278" s="13"/>
      <c r="I278" s="8"/>
      <c r="J278" s="8"/>
      <c r="K278" s="13"/>
      <c r="L278" s="164"/>
    </row>
    <row r="279" spans="1:12" x14ac:dyDescent="0.25">
      <c r="A279" s="110"/>
      <c r="B279" s="8"/>
      <c r="C279" s="8"/>
      <c r="D279" s="8"/>
      <c r="E279" s="13"/>
      <c r="F279" s="13"/>
      <c r="G279" s="13"/>
      <c r="H279" s="13"/>
      <c r="I279" s="8"/>
      <c r="J279" s="8"/>
      <c r="K279" s="13"/>
      <c r="L279" s="164"/>
    </row>
    <row r="280" spans="1:12" x14ac:dyDescent="0.25">
      <c r="A280" s="110"/>
      <c r="B280" s="8"/>
      <c r="C280" s="8"/>
      <c r="D280" s="8"/>
      <c r="E280" s="13"/>
      <c r="F280" s="13"/>
      <c r="G280" s="13"/>
      <c r="H280" s="13"/>
      <c r="I280" s="8"/>
      <c r="J280" s="8"/>
      <c r="K280" s="13"/>
      <c r="L280" s="164"/>
    </row>
    <row r="281" spans="1:12" x14ac:dyDescent="0.25">
      <c r="A281" s="110"/>
      <c r="B281" s="8"/>
      <c r="C281" s="8"/>
      <c r="D281" s="8"/>
      <c r="E281" s="13"/>
      <c r="F281" s="13"/>
      <c r="G281" s="13"/>
      <c r="H281" s="13"/>
      <c r="I281" s="8"/>
      <c r="J281" s="8"/>
      <c r="K281" s="13"/>
      <c r="L281" s="164"/>
    </row>
    <row r="282" spans="1:12" x14ac:dyDescent="0.25">
      <c r="A282" s="110"/>
      <c r="B282" s="8"/>
      <c r="C282" s="8"/>
      <c r="D282" s="8"/>
      <c r="E282" s="13"/>
      <c r="F282" s="13"/>
      <c r="G282" s="13"/>
      <c r="H282" s="13"/>
      <c r="I282" s="8"/>
      <c r="J282" s="8"/>
      <c r="K282" s="13"/>
      <c r="L282" s="164"/>
    </row>
    <row r="283" spans="1:12" x14ac:dyDescent="0.25">
      <c r="A283" s="110"/>
      <c r="B283" s="8"/>
      <c r="C283" s="8"/>
      <c r="D283" s="8"/>
      <c r="E283" s="13"/>
      <c r="F283" s="13"/>
      <c r="G283" s="13"/>
      <c r="H283" s="13"/>
      <c r="I283" s="8"/>
      <c r="J283" s="8"/>
      <c r="K283" s="13"/>
      <c r="L283" s="164"/>
    </row>
    <row r="284" spans="1:12" x14ac:dyDescent="0.25">
      <c r="A284" s="110"/>
      <c r="B284" s="8"/>
      <c r="C284" s="8"/>
      <c r="D284" s="8"/>
      <c r="E284" s="13"/>
      <c r="F284" s="13"/>
      <c r="G284" s="13"/>
      <c r="H284" s="13"/>
      <c r="I284" s="8"/>
      <c r="J284" s="8"/>
      <c r="K284" s="13"/>
      <c r="L284" s="164"/>
    </row>
    <row r="285" spans="1:12" x14ac:dyDescent="0.25">
      <c r="A285" s="110"/>
      <c r="B285" s="8"/>
      <c r="C285" s="8"/>
      <c r="D285" s="8"/>
      <c r="E285" s="13"/>
      <c r="F285" s="13"/>
      <c r="G285" s="13"/>
      <c r="H285" s="13"/>
      <c r="I285" s="8"/>
      <c r="J285" s="8"/>
      <c r="K285" s="13"/>
      <c r="L285" s="164"/>
    </row>
    <row r="286" spans="1:12" x14ac:dyDescent="0.25">
      <c r="A286" s="110"/>
      <c r="B286" s="8"/>
      <c r="C286" s="8"/>
      <c r="D286" s="8"/>
      <c r="E286" s="13"/>
      <c r="F286" s="13"/>
      <c r="G286" s="13"/>
      <c r="H286" s="13"/>
      <c r="I286" s="8"/>
      <c r="J286" s="8"/>
      <c r="K286" s="13"/>
      <c r="L286" s="164"/>
    </row>
    <row r="287" spans="1:12" x14ac:dyDescent="0.25">
      <c r="A287" s="110"/>
      <c r="B287" s="8"/>
      <c r="C287" s="8"/>
      <c r="D287" s="8"/>
      <c r="E287" s="13"/>
      <c r="F287" s="13"/>
      <c r="G287" s="13"/>
      <c r="H287" s="13"/>
      <c r="I287" s="8"/>
      <c r="J287" s="8"/>
      <c r="K287" s="13"/>
      <c r="L287" s="164"/>
    </row>
    <row r="288" spans="1:12" x14ac:dyDescent="0.25">
      <c r="A288" s="110"/>
      <c r="B288" s="8"/>
      <c r="C288" s="8"/>
      <c r="D288" s="8"/>
      <c r="E288" s="13"/>
      <c r="F288" s="13"/>
      <c r="G288" s="13"/>
      <c r="H288" s="13"/>
      <c r="I288" s="8"/>
      <c r="J288" s="8"/>
      <c r="K288" s="13"/>
      <c r="L288" s="164"/>
    </row>
    <row r="289" spans="1:12" x14ac:dyDescent="0.25">
      <c r="A289" s="110"/>
      <c r="B289" s="8"/>
      <c r="C289" s="8"/>
      <c r="D289" s="8"/>
      <c r="E289" s="13"/>
      <c r="F289" s="13"/>
      <c r="G289" s="13"/>
      <c r="H289" s="13"/>
      <c r="I289" s="8"/>
      <c r="J289" s="8"/>
      <c r="K289" s="13"/>
      <c r="L289" s="164"/>
    </row>
    <row r="290" spans="1:12" x14ac:dyDescent="0.25">
      <c r="A290" s="110"/>
      <c r="B290" s="8"/>
      <c r="C290" s="8"/>
      <c r="D290" s="8"/>
      <c r="E290" s="13"/>
      <c r="F290" s="13"/>
      <c r="G290" s="13"/>
      <c r="H290" s="13"/>
      <c r="I290" s="8"/>
      <c r="J290" s="8"/>
      <c r="K290" s="13"/>
      <c r="L290" s="164"/>
    </row>
    <row r="291" spans="1:12" x14ac:dyDescent="0.25">
      <c r="A291" s="110"/>
      <c r="B291" s="8"/>
      <c r="C291" s="8"/>
      <c r="D291" s="8"/>
      <c r="E291" s="13"/>
      <c r="F291" s="13"/>
      <c r="G291" s="13"/>
      <c r="H291" s="13"/>
      <c r="I291" s="8"/>
      <c r="J291" s="8"/>
      <c r="K291" s="13"/>
      <c r="L291" s="164"/>
    </row>
    <row r="292" spans="1:12" x14ac:dyDescent="0.25">
      <c r="A292" s="110"/>
      <c r="B292" s="8"/>
      <c r="C292" s="8"/>
      <c r="D292" s="8"/>
      <c r="E292" s="13"/>
      <c r="F292" s="13"/>
      <c r="G292" s="13"/>
      <c r="H292" s="13"/>
      <c r="I292" s="8"/>
      <c r="J292" s="8"/>
      <c r="K292" s="13"/>
      <c r="L292" s="164"/>
    </row>
    <row r="293" spans="1:12" x14ac:dyDescent="0.25">
      <c r="A293" s="110"/>
      <c r="B293" s="8"/>
      <c r="C293" s="8"/>
      <c r="D293" s="8"/>
      <c r="E293" s="13"/>
      <c r="F293" s="13"/>
      <c r="G293" s="13"/>
      <c r="H293" s="13"/>
      <c r="I293" s="8"/>
      <c r="J293" s="8"/>
      <c r="K293" s="13"/>
      <c r="L293" s="164"/>
    </row>
    <row r="294" spans="1:12" x14ac:dyDescent="0.25">
      <c r="A294" s="110"/>
      <c r="B294" s="8"/>
      <c r="C294" s="8"/>
      <c r="D294" s="8"/>
      <c r="E294" s="13"/>
      <c r="F294" s="13"/>
      <c r="G294" s="13"/>
      <c r="H294" s="13"/>
      <c r="I294" s="8"/>
      <c r="J294" s="8"/>
      <c r="K294" s="13"/>
      <c r="L294" s="164"/>
    </row>
    <row r="295" spans="1:12" x14ac:dyDescent="0.25">
      <c r="A295" s="110"/>
      <c r="B295" s="8"/>
      <c r="C295" s="8"/>
      <c r="D295" s="8"/>
      <c r="E295" s="13"/>
      <c r="F295" s="13"/>
      <c r="G295" s="13"/>
      <c r="H295" s="13"/>
      <c r="I295" s="8"/>
      <c r="J295" s="8"/>
      <c r="K295" s="13"/>
      <c r="L295" s="164"/>
    </row>
    <row r="296" spans="1:12" x14ac:dyDescent="0.25">
      <c r="A296" s="110"/>
      <c r="B296" s="8"/>
      <c r="C296" s="8"/>
      <c r="D296" s="8"/>
      <c r="E296" s="13"/>
      <c r="F296" s="13"/>
      <c r="G296" s="13"/>
      <c r="H296" s="13"/>
      <c r="I296" s="8"/>
      <c r="J296" s="8"/>
      <c r="K296" s="13"/>
      <c r="L296" s="164"/>
    </row>
    <row r="297" spans="1:12" x14ac:dyDescent="0.25">
      <c r="A297" s="110"/>
      <c r="B297" s="8"/>
      <c r="C297" s="8"/>
      <c r="D297" s="8"/>
      <c r="E297" s="13"/>
      <c r="F297" s="13"/>
      <c r="G297" s="13"/>
      <c r="H297" s="13"/>
      <c r="I297" s="8"/>
      <c r="J297" s="8"/>
      <c r="K297" s="13"/>
      <c r="L297" s="164"/>
    </row>
    <row r="298" spans="1:12" x14ac:dyDescent="0.25">
      <c r="A298" s="110"/>
      <c r="B298" s="8"/>
      <c r="C298" s="8"/>
      <c r="D298" s="8"/>
      <c r="E298" s="13"/>
      <c r="F298" s="13"/>
      <c r="G298" s="13"/>
      <c r="H298" s="13"/>
      <c r="I298" s="8"/>
      <c r="J298" s="8"/>
      <c r="K298" s="13"/>
      <c r="L298" s="164"/>
    </row>
    <row r="299" spans="1:12" x14ac:dyDescent="0.25">
      <c r="A299" s="110"/>
      <c r="B299" s="8"/>
      <c r="C299" s="8"/>
      <c r="D299" s="8"/>
      <c r="E299" s="13"/>
      <c r="F299" s="13"/>
      <c r="G299" s="13"/>
      <c r="H299" s="13"/>
      <c r="I299" s="8"/>
      <c r="J299" s="8"/>
      <c r="K299" s="13"/>
      <c r="L299" s="164"/>
    </row>
    <row r="300" spans="1:12" x14ac:dyDescent="0.25">
      <c r="A300" s="110"/>
      <c r="B300" s="8"/>
      <c r="C300" s="8"/>
      <c r="D300" s="8"/>
      <c r="E300" s="13"/>
      <c r="F300" s="13"/>
      <c r="G300" s="13"/>
      <c r="H300" s="13"/>
      <c r="I300" s="8"/>
      <c r="J300" s="8"/>
      <c r="K300" s="13"/>
      <c r="L300" s="164"/>
    </row>
    <row r="301" spans="1:12" x14ac:dyDescent="0.25">
      <c r="A301" s="110"/>
      <c r="B301" s="8"/>
      <c r="C301" s="8"/>
      <c r="D301" s="8"/>
      <c r="E301" s="13"/>
      <c r="F301" s="13"/>
      <c r="G301" s="13"/>
      <c r="H301" s="13"/>
      <c r="I301" s="8"/>
      <c r="J301" s="8"/>
      <c r="K301" s="13"/>
      <c r="L301" s="164"/>
    </row>
    <row r="302" spans="1:12" x14ac:dyDescent="0.25">
      <c r="A302" s="110"/>
      <c r="B302" s="8"/>
      <c r="C302" s="8"/>
      <c r="D302" s="8"/>
      <c r="E302" s="13"/>
      <c r="F302" s="13"/>
      <c r="G302" s="13"/>
      <c r="H302" s="13"/>
      <c r="I302" s="8"/>
      <c r="J302" s="8"/>
      <c r="K302" s="13"/>
      <c r="L302" s="164"/>
    </row>
    <row r="303" spans="1:12" x14ac:dyDescent="0.25">
      <c r="A303" s="110"/>
      <c r="B303" s="8"/>
      <c r="C303" s="8"/>
      <c r="D303" s="8"/>
      <c r="E303" s="13"/>
      <c r="F303" s="13"/>
      <c r="G303" s="13"/>
      <c r="H303" s="13"/>
      <c r="I303" s="8"/>
      <c r="J303" s="8"/>
      <c r="K303" s="13"/>
      <c r="L303" s="164"/>
    </row>
    <row r="304" spans="1:12" x14ac:dyDescent="0.25">
      <c r="A304" s="110"/>
      <c r="B304" s="8"/>
      <c r="C304" s="8"/>
      <c r="D304" s="8"/>
      <c r="E304" s="13"/>
      <c r="F304" s="13"/>
      <c r="G304" s="13"/>
      <c r="H304" s="13"/>
      <c r="I304" s="8"/>
      <c r="J304" s="8"/>
      <c r="K304" s="13"/>
      <c r="L304" s="164"/>
    </row>
    <row r="305" spans="1:12" x14ac:dyDescent="0.25">
      <c r="A305" s="110"/>
      <c r="B305" s="8"/>
      <c r="C305" s="8"/>
      <c r="D305" s="8"/>
      <c r="E305" s="13"/>
      <c r="F305" s="13"/>
      <c r="G305" s="13"/>
      <c r="H305" s="13"/>
      <c r="I305" s="8"/>
      <c r="J305" s="8"/>
      <c r="K305" s="13"/>
      <c r="L305" s="164"/>
    </row>
    <row r="306" spans="1:12" x14ac:dyDescent="0.25">
      <c r="A306" s="110"/>
      <c r="B306" s="8"/>
      <c r="C306" s="8"/>
      <c r="D306" s="8"/>
      <c r="E306" s="13"/>
      <c r="F306" s="13"/>
      <c r="G306" s="13"/>
      <c r="H306" s="13"/>
      <c r="I306" s="8"/>
      <c r="J306" s="8"/>
      <c r="K306" s="13"/>
      <c r="L306" s="164"/>
    </row>
    <row r="307" spans="1:12" x14ac:dyDescent="0.25">
      <c r="A307" s="110"/>
      <c r="B307" s="8"/>
      <c r="C307" s="8"/>
      <c r="D307" s="8"/>
      <c r="E307" s="13"/>
      <c r="F307" s="13"/>
      <c r="G307" s="13"/>
      <c r="H307" s="13"/>
      <c r="I307" s="8"/>
      <c r="J307" s="8"/>
      <c r="K307" s="13"/>
      <c r="L307" s="164"/>
    </row>
    <row r="308" spans="1:12" x14ac:dyDescent="0.25">
      <c r="A308" s="110"/>
      <c r="B308" s="8"/>
      <c r="C308" s="8"/>
      <c r="D308" s="8"/>
      <c r="E308" s="13"/>
      <c r="F308" s="13"/>
      <c r="G308" s="13"/>
      <c r="H308" s="13"/>
      <c r="I308" s="8"/>
      <c r="J308" s="8"/>
      <c r="K308" s="13"/>
      <c r="L308" s="164"/>
    </row>
    <row r="309" spans="1:12" x14ac:dyDescent="0.25">
      <c r="A309" s="110"/>
      <c r="B309" s="8"/>
      <c r="C309" s="8"/>
      <c r="D309" s="8"/>
      <c r="E309" s="13"/>
      <c r="F309" s="13"/>
      <c r="G309" s="13"/>
      <c r="H309" s="13"/>
      <c r="I309" s="8"/>
      <c r="J309" s="8"/>
      <c r="K309" s="13"/>
      <c r="L309" s="164"/>
    </row>
    <row r="310" spans="1:12" x14ac:dyDescent="0.25">
      <c r="A310" s="110"/>
      <c r="B310" s="8"/>
      <c r="C310" s="8"/>
      <c r="D310" s="8"/>
      <c r="E310" s="13"/>
      <c r="F310" s="13"/>
      <c r="G310" s="13"/>
      <c r="H310" s="13"/>
      <c r="I310" s="8"/>
      <c r="J310" s="8"/>
      <c r="K310" s="13"/>
      <c r="L310" s="164"/>
    </row>
    <row r="311" spans="1:12" x14ac:dyDescent="0.25">
      <c r="A311" s="110"/>
      <c r="B311" s="8"/>
      <c r="C311" s="8"/>
      <c r="D311" s="8"/>
      <c r="E311" s="13"/>
      <c r="F311" s="13"/>
      <c r="G311" s="13"/>
      <c r="H311" s="13"/>
      <c r="I311" s="8"/>
      <c r="J311" s="8"/>
      <c r="K311" s="13"/>
      <c r="L311" s="164"/>
    </row>
    <row r="312" spans="1:12" x14ac:dyDescent="0.25">
      <c r="A312" s="110"/>
      <c r="B312" s="8"/>
      <c r="C312" s="8"/>
      <c r="D312" s="8"/>
      <c r="E312" s="13"/>
      <c r="F312" s="13"/>
      <c r="G312" s="13"/>
      <c r="H312" s="13"/>
      <c r="I312" s="8"/>
      <c r="J312" s="8"/>
      <c r="K312" s="13"/>
      <c r="L312" s="164"/>
    </row>
    <row r="313" spans="1:12" x14ac:dyDescent="0.25">
      <c r="A313" s="110"/>
      <c r="B313" s="8"/>
      <c r="C313" s="8"/>
      <c r="D313" s="8"/>
      <c r="E313" s="13"/>
      <c r="F313" s="13"/>
      <c r="G313" s="13"/>
      <c r="H313" s="13"/>
      <c r="I313" s="8"/>
      <c r="J313" s="8"/>
      <c r="K313" s="13"/>
      <c r="L313" s="164"/>
    </row>
    <row r="314" spans="1:12" x14ac:dyDescent="0.25">
      <c r="A314" s="110"/>
      <c r="B314" s="8"/>
      <c r="C314" s="8"/>
      <c r="D314" s="8"/>
      <c r="E314" s="13"/>
      <c r="F314" s="13"/>
      <c r="G314" s="13"/>
      <c r="H314" s="13"/>
      <c r="I314" s="8"/>
      <c r="J314" s="8"/>
      <c r="K314" s="13"/>
      <c r="L314" s="164"/>
    </row>
    <row r="315" spans="1:12" x14ac:dyDescent="0.25">
      <c r="A315" s="110"/>
      <c r="B315" s="8"/>
      <c r="C315" s="8"/>
      <c r="D315" s="8"/>
      <c r="E315" s="13"/>
      <c r="F315" s="13"/>
      <c r="G315" s="13"/>
      <c r="H315" s="13"/>
      <c r="I315" s="8"/>
      <c r="J315" s="8"/>
      <c r="K315" s="13"/>
      <c r="L315" s="164"/>
    </row>
    <row r="316" spans="1:12" x14ac:dyDescent="0.25">
      <c r="A316" s="110"/>
      <c r="B316" s="8"/>
      <c r="C316" s="8"/>
      <c r="D316" s="8"/>
      <c r="E316" s="13"/>
      <c r="F316" s="13"/>
      <c r="G316" s="13"/>
      <c r="H316" s="13"/>
      <c r="I316" s="8"/>
      <c r="J316" s="8"/>
      <c r="K316" s="13"/>
      <c r="L316" s="164"/>
    </row>
    <row r="317" spans="1:12" x14ac:dyDescent="0.25">
      <c r="A317" s="110"/>
      <c r="B317" s="8"/>
      <c r="C317" s="8"/>
      <c r="D317" s="8"/>
      <c r="E317" s="13"/>
      <c r="F317" s="13"/>
      <c r="G317" s="13"/>
      <c r="H317" s="13"/>
      <c r="I317" s="8"/>
      <c r="J317" s="8"/>
      <c r="K317" s="13"/>
      <c r="L317" s="164"/>
    </row>
    <row r="318" spans="1:12" x14ac:dyDescent="0.25">
      <c r="A318" s="110"/>
      <c r="B318" s="8"/>
      <c r="C318" s="8"/>
      <c r="D318" s="8"/>
      <c r="E318" s="13"/>
      <c r="F318" s="13"/>
      <c r="G318" s="13"/>
      <c r="H318" s="13"/>
      <c r="I318" s="8"/>
      <c r="J318" s="8"/>
      <c r="K318" s="13"/>
      <c r="L318" s="164"/>
    </row>
    <row r="319" spans="1:12" x14ac:dyDescent="0.25">
      <c r="A319" s="110"/>
      <c r="B319" s="8"/>
      <c r="C319" s="8"/>
      <c r="D319" s="8"/>
      <c r="E319" s="13"/>
      <c r="F319" s="13"/>
      <c r="G319" s="13"/>
      <c r="H319" s="13"/>
      <c r="I319" s="8"/>
      <c r="J319" s="8"/>
      <c r="K319" s="13"/>
      <c r="L319" s="164"/>
    </row>
    <row r="320" spans="1:12" x14ac:dyDescent="0.25">
      <c r="A320" s="110"/>
      <c r="B320" s="8"/>
      <c r="C320" s="8"/>
      <c r="D320" s="8"/>
      <c r="E320" s="13"/>
      <c r="F320" s="13"/>
      <c r="G320" s="13"/>
      <c r="H320" s="13"/>
      <c r="I320" s="8"/>
      <c r="J320" s="8"/>
      <c r="K320" s="13"/>
      <c r="L320" s="164"/>
    </row>
    <row r="321" spans="1:12" x14ac:dyDescent="0.25">
      <c r="A321" s="110"/>
      <c r="B321" s="8"/>
      <c r="C321" s="8"/>
      <c r="D321" s="8"/>
      <c r="E321" s="13"/>
      <c r="F321" s="13"/>
      <c r="G321" s="13"/>
      <c r="H321" s="13"/>
      <c r="I321" s="8"/>
      <c r="J321" s="8"/>
      <c r="K321" s="13"/>
      <c r="L321" s="164"/>
    </row>
    <row r="322" spans="1:12" x14ac:dyDescent="0.25">
      <c r="A322" s="110"/>
      <c r="B322" s="8"/>
      <c r="C322" s="8"/>
      <c r="D322" s="8"/>
      <c r="E322" s="13"/>
      <c r="F322" s="13"/>
      <c r="G322" s="13"/>
      <c r="H322" s="13"/>
      <c r="I322" s="8"/>
      <c r="J322" s="8"/>
      <c r="K322" s="13"/>
      <c r="L322" s="164"/>
    </row>
    <row r="323" spans="1:12" x14ac:dyDescent="0.25">
      <c r="A323" s="110"/>
      <c r="B323" s="8"/>
      <c r="C323" s="8"/>
      <c r="D323" s="8"/>
      <c r="E323" s="13"/>
      <c r="F323" s="13"/>
      <c r="G323" s="13"/>
      <c r="H323" s="13"/>
      <c r="I323" s="8"/>
      <c r="J323" s="8"/>
      <c r="K323" s="13"/>
      <c r="L323" s="164"/>
    </row>
    <row r="324" spans="1:12" x14ac:dyDescent="0.25">
      <c r="A324" s="110"/>
      <c r="B324" s="8"/>
      <c r="C324" s="8"/>
      <c r="D324" s="8"/>
      <c r="E324" s="13"/>
      <c r="F324" s="13"/>
      <c r="G324" s="13"/>
      <c r="H324" s="13"/>
      <c r="I324" s="8"/>
      <c r="J324" s="8"/>
      <c r="K324" s="13"/>
      <c r="L324" s="164"/>
    </row>
    <row r="325" spans="1:12" x14ac:dyDescent="0.25">
      <c r="A325" s="110"/>
      <c r="B325" s="8"/>
      <c r="C325" s="8"/>
      <c r="D325" s="8"/>
      <c r="E325" s="13"/>
      <c r="F325" s="13"/>
      <c r="G325" s="13"/>
      <c r="H325" s="13"/>
      <c r="I325" s="8"/>
      <c r="J325" s="8"/>
      <c r="K325" s="13"/>
      <c r="L325" s="164"/>
    </row>
    <row r="326" spans="1:12" x14ac:dyDescent="0.25">
      <c r="A326" s="110"/>
      <c r="B326" s="8"/>
      <c r="C326" s="8"/>
      <c r="D326" s="8"/>
      <c r="E326" s="13"/>
      <c r="F326" s="13"/>
      <c r="G326" s="13"/>
      <c r="H326" s="13"/>
      <c r="I326" s="8"/>
      <c r="J326" s="8"/>
      <c r="K326" s="13"/>
      <c r="L326" s="164"/>
    </row>
    <row r="327" spans="1:12" x14ac:dyDescent="0.25">
      <c r="A327" s="110"/>
      <c r="B327" s="8"/>
      <c r="C327" s="8"/>
      <c r="D327" s="8"/>
      <c r="E327" s="13"/>
      <c r="F327" s="13"/>
      <c r="G327" s="13"/>
      <c r="H327" s="13"/>
      <c r="I327" s="8"/>
      <c r="J327" s="8"/>
      <c r="K327" s="13"/>
      <c r="L327" s="164"/>
    </row>
    <row r="328" spans="1:12" x14ac:dyDescent="0.25">
      <c r="A328" s="110"/>
      <c r="B328" s="8"/>
      <c r="C328" s="8"/>
      <c r="D328" s="8"/>
      <c r="E328" s="13"/>
      <c r="F328" s="13"/>
      <c r="G328" s="13"/>
      <c r="H328" s="13"/>
      <c r="I328" s="8"/>
      <c r="J328" s="8"/>
      <c r="K328" s="13"/>
      <c r="L328" s="164"/>
    </row>
    <row r="329" spans="1:12" x14ac:dyDescent="0.25">
      <c r="A329" s="110"/>
      <c r="B329" s="8"/>
      <c r="C329" s="8"/>
      <c r="D329" s="8"/>
      <c r="E329" s="13"/>
      <c r="F329" s="13"/>
      <c r="G329" s="13"/>
      <c r="H329" s="13"/>
      <c r="I329" s="8"/>
      <c r="J329" s="8"/>
      <c r="K329" s="13"/>
      <c r="L329" s="164"/>
    </row>
    <row r="330" spans="1:12" x14ac:dyDescent="0.25">
      <c r="A330" s="110"/>
      <c r="B330" s="8"/>
      <c r="C330" s="8"/>
      <c r="D330" s="8"/>
      <c r="E330" s="13"/>
      <c r="F330" s="13"/>
      <c r="G330" s="13"/>
      <c r="H330" s="13"/>
      <c r="I330" s="8"/>
      <c r="J330" s="8"/>
      <c r="K330" s="13"/>
      <c r="L330" s="164"/>
    </row>
    <row r="331" spans="1:12" x14ac:dyDescent="0.25">
      <c r="A331" s="110"/>
      <c r="B331" s="8"/>
      <c r="C331" s="8"/>
      <c r="D331" s="8"/>
      <c r="E331" s="13"/>
      <c r="F331" s="13"/>
      <c r="G331" s="13"/>
      <c r="H331" s="13"/>
      <c r="I331" s="8"/>
      <c r="J331" s="8"/>
      <c r="K331" s="13"/>
      <c r="L331" s="164"/>
    </row>
    <row r="332" spans="1:12" x14ac:dyDescent="0.25">
      <c r="A332" s="110"/>
      <c r="B332" s="8"/>
      <c r="C332" s="8"/>
      <c r="D332" s="8"/>
      <c r="E332" s="13"/>
      <c r="F332" s="13"/>
      <c r="G332" s="13"/>
      <c r="H332" s="13"/>
      <c r="I332" s="8"/>
      <c r="J332" s="8"/>
      <c r="K332" s="13"/>
      <c r="L332" s="164"/>
    </row>
    <row r="333" spans="1:12" x14ac:dyDescent="0.25">
      <c r="A333" s="110"/>
      <c r="B333" s="8"/>
      <c r="C333" s="8"/>
      <c r="D333" s="8"/>
      <c r="E333" s="13"/>
      <c r="F333" s="13"/>
      <c r="G333" s="13"/>
      <c r="H333" s="13"/>
      <c r="I333" s="8"/>
      <c r="J333" s="8"/>
      <c r="K333" s="13"/>
      <c r="L333" s="164"/>
    </row>
    <row r="334" spans="1:12" x14ac:dyDescent="0.25">
      <c r="A334" s="110"/>
      <c r="B334" s="8"/>
      <c r="C334" s="8"/>
      <c r="D334" s="8"/>
      <c r="E334" s="13"/>
      <c r="F334" s="13"/>
      <c r="G334" s="13"/>
      <c r="H334" s="13"/>
      <c r="I334" s="8"/>
      <c r="J334" s="8"/>
      <c r="K334" s="13"/>
      <c r="L334" s="164"/>
    </row>
    <row r="335" spans="1:12" x14ac:dyDescent="0.25">
      <c r="A335" s="110"/>
      <c r="B335" s="8"/>
      <c r="C335" s="8"/>
      <c r="D335" s="8"/>
      <c r="E335" s="13"/>
      <c r="F335" s="13"/>
      <c r="G335" s="13"/>
      <c r="H335" s="13"/>
      <c r="I335" s="8"/>
      <c r="J335" s="8"/>
      <c r="K335" s="13"/>
      <c r="L335" s="164"/>
    </row>
    <row r="336" spans="1:12" x14ac:dyDescent="0.25">
      <c r="A336" s="110"/>
      <c r="B336" s="8"/>
      <c r="C336" s="8"/>
      <c r="D336" s="8"/>
      <c r="E336" s="13"/>
      <c r="F336" s="13"/>
      <c r="G336" s="13"/>
      <c r="H336" s="13"/>
      <c r="I336" s="8"/>
      <c r="J336" s="8"/>
      <c r="K336" s="13"/>
      <c r="L336" s="164"/>
    </row>
    <row r="337" spans="1:12" x14ac:dyDescent="0.25">
      <c r="A337" s="110"/>
      <c r="B337" s="8"/>
      <c r="C337" s="8"/>
      <c r="D337" s="8"/>
      <c r="E337" s="13"/>
      <c r="F337" s="13"/>
      <c r="G337" s="13"/>
      <c r="H337" s="13"/>
      <c r="I337" s="8"/>
      <c r="J337" s="8"/>
      <c r="K337" s="13"/>
      <c r="L337" s="164"/>
    </row>
    <row r="338" spans="1:12" x14ac:dyDescent="0.25">
      <c r="A338" s="110"/>
      <c r="B338" s="8"/>
      <c r="C338" s="8"/>
      <c r="D338" s="8"/>
      <c r="E338" s="13"/>
      <c r="F338" s="13"/>
      <c r="G338" s="13"/>
      <c r="H338" s="13"/>
      <c r="I338" s="8"/>
      <c r="J338" s="8"/>
      <c r="K338" s="13"/>
      <c r="L338" s="164"/>
    </row>
    <row r="339" spans="1:12" x14ac:dyDescent="0.25">
      <c r="A339" s="110"/>
      <c r="B339" s="8"/>
      <c r="C339" s="8"/>
      <c r="D339" s="8"/>
      <c r="E339" s="13"/>
      <c r="F339" s="13"/>
      <c r="G339" s="13"/>
      <c r="H339" s="13"/>
      <c r="I339" s="8"/>
      <c r="J339" s="8"/>
      <c r="K339" s="13"/>
      <c r="L339" s="164"/>
    </row>
    <row r="340" spans="1:12" x14ac:dyDescent="0.25">
      <c r="A340" s="110"/>
      <c r="B340" s="8"/>
      <c r="C340" s="8"/>
      <c r="D340" s="8"/>
      <c r="E340" s="13"/>
      <c r="F340" s="13"/>
      <c r="G340" s="13"/>
      <c r="H340" s="13"/>
      <c r="I340" s="8"/>
      <c r="J340" s="8"/>
      <c r="K340" s="13"/>
      <c r="L340" s="164"/>
    </row>
    <row r="341" spans="1:12" x14ac:dyDescent="0.25">
      <c r="A341" s="110"/>
      <c r="B341" s="8"/>
      <c r="C341" s="8"/>
      <c r="D341" s="8"/>
      <c r="E341" s="13"/>
      <c r="F341" s="13"/>
      <c r="G341" s="13"/>
      <c r="H341" s="13"/>
      <c r="I341" s="8"/>
      <c r="J341" s="8"/>
      <c r="K341" s="13"/>
      <c r="L341" s="164"/>
    </row>
    <row r="342" spans="1:12" x14ac:dyDescent="0.25">
      <c r="A342" s="110"/>
      <c r="B342" s="8"/>
      <c r="C342" s="8"/>
      <c r="D342" s="8"/>
      <c r="E342" s="13"/>
      <c r="F342" s="13"/>
      <c r="G342" s="13"/>
      <c r="H342" s="13"/>
      <c r="I342" s="8"/>
      <c r="J342" s="8"/>
      <c r="K342" s="13"/>
      <c r="L342" s="164"/>
    </row>
    <row r="343" spans="1:12" x14ac:dyDescent="0.25">
      <c r="A343" s="110"/>
      <c r="B343" s="8"/>
      <c r="C343" s="8"/>
      <c r="D343" s="8"/>
      <c r="E343" s="13"/>
      <c r="F343" s="13"/>
      <c r="G343" s="13"/>
      <c r="H343" s="13"/>
      <c r="I343" s="8"/>
      <c r="J343" s="8"/>
      <c r="K343" s="13"/>
      <c r="L343" s="164"/>
    </row>
    <row r="344" spans="1:12" x14ac:dyDescent="0.25">
      <c r="A344" s="110"/>
      <c r="B344" s="8"/>
      <c r="C344" s="8"/>
      <c r="D344" s="8"/>
      <c r="E344" s="13"/>
      <c r="F344" s="13"/>
      <c r="G344" s="13"/>
      <c r="H344" s="13"/>
      <c r="I344" s="8"/>
      <c r="J344" s="8"/>
      <c r="K344" s="13"/>
      <c r="L344" s="164"/>
    </row>
    <row r="345" spans="1:12" x14ac:dyDescent="0.25">
      <c r="A345" s="110"/>
      <c r="B345" s="8"/>
      <c r="C345" s="8"/>
      <c r="D345" s="8"/>
      <c r="E345" s="13"/>
      <c r="F345" s="13"/>
      <c r="G345" s="13"/>
      <c r="H345" s="13"/>
      <c r="I345" s="8"/>
      <c r="J345" s="8"/>
      <c r="K345" s="13"/>
      <c r="L345" s="164"/>
    </row>
    <row r="346" spans="1:12" x14ac:dyDescent="0.25">
      <c r="A346" s="110"/>
      <c r="B346" s="8"/>
      <c r="C346" s="8"/>
      <c r="D346" s="8"/>
      <c r="E346" s="13"/>
      <c r="F346" s="13"/>
      <c r="G346" s="13"/>
      <c r="H346" s="13"/>
      <c r="I346" s="8"/>
      <c r="J346" s="8"/>
      <c r="K346" s="13"/>
      <c r="L346" s="164"/>
    </row>
    <row r="347" spans="1:12" x14ac:dyDescent="0.25">
      <c r="A347" s="110"/>
      <c r="B347" s="8"/>
      <c r="C347" s="8"/>
      <c r="D347" s="8"/>
      <c r="E347" s="13"/>
      <c r="F347" s="13"/>
      <c r="G347" s="13"/>
      <c r="H347" s="13"/>
      <c r="I347" s="8"/>
      <c r="J347" s="8"/>
      <c r="K347" s="13"/>
      <c r="L347" s="164"/>
    </row>
    <row r="348" spans="1:12" x14ac:dyDescent="0.25">
      <c r="A348" s="110"/>
      <c r="B348" s="8"/>
      <c r="C348" s="8"/>
      <c r="D348" s="8"/>
      <c r="E348" s="13"/>
      <c r="F348" s="13"/>
      <c r="G348" s="13"/>
      <c r="H348" s="13"/>
      <c r="I348" s="8"/>
      <c r="J348" s="8"/>
      <c r="K348" s="13"/>
      <c r="L348" s="164"/>
    </row>
    <row r="349" spans="1:12" x14ac:dyDescent="0.25">
      <c r="A349" s="110"/>
      <c r="B349" s="8"/>
      <c r="C349" s="8"/>
      <c r="D349" s="8"/>
      <c r="E349" s="13"/>
      <c r="F349" s="13"/>
      <c r="G349" s="13"/>
      <c r="H349" s="13"/>
      <c r="I349" s="8"/>
      <c r="J349" s="8"/>
      <c r="K349" s="13"/>
      <c r="L349" s="164"/>
    </row>
    <row r="350" spans="1:12" x14ac:dyDescent="0.25">
      <c r="A350" s="110"/>
      <c r="B350" s="8"/>
      <c r="C350" s="8"/>
      <c r="D350" s="8"/>
      <c r="E350" s="13"/>
      <c r="F350" s="13"/>
      <c r="G350" s="13"/>
      <c r="H350" s="13"/>
      <c r="I350" s="8"/>
      <c r="J350" s="8"/>
      <c r="K350" s="13"/>
      <c r="L350" s="164"/>
    </row>
    <row r="351" spans="1:12" x14ac:dyDescent="0.25">
      <c r="A351" s="110"/>
      <c r="B351" s="8"/>
      <c r="C351" s="8"/>
      <c r="D351" s="8"/>
      <c r="E351" s="13"/>
      <c r="F351" s="13"/>
      <c r="G351" s="13"/>
      <c r="H351" s="13"/>
      <c r="I351" s="8"/>
      <c r="J351" s="8"/>
      <c r="K351" s="13"/>
      <c r="L351" s="164"/>
    </row>
    <row r="352" spans="1:12" x14ac:dyDescent="0.25">
      <c r="A352" s="110"/>
      <c r="B352" s="8"/>
      <c r="C352" s="8"/>
      <c r="D352" s="8"/>
      <c r="E352" s="13"/>
      <c r="F352" s="13"/>
      <c r="G352" s="13"/>
      <c r="H352" s="13"/>
      <c r="I352" s="8"/>
      <c r="J352" s="8"/>
      <c r="K352" s="13"/>
      <c r="L352" s="164"/>
    </row>
    <row r="353" spans="1:12" x14ac:dyDescent="0.25">
      <c r="A353" s="110"/>
      <c r="B353" s="8"/>
      <c r="C353" s="8"/>
      <c r="D353" s="8"/>
      <c r="E353" s="13"/>
      <c r="F353" s="13"/>
      <c r="G353" s="13"/>
      <c r="H353" s="13"/>
      <c r="I353" s="8"/>
      <c r="J353" s="8"/>
      <c r="K353" s="13"/>
      <c r="L353" s="164"/>
    </row>
    <row r="354" spans="1:12" x14ac:dyDescent="0.25">
      <c r="A354" s="110"/>
      <c r="B354" s="8"/>
      <c r="C354" s="8"/>
      <c r="D354" s="8"/>
      <c r="E354" s="13"/>
      <c r="F354" s="13"/>
      <c r="G354" s="13"/>
      <c r="H354" s="13"/>
      <c r="I354" s="8"/>
      <c r="J354" s="8"/>
      <c r="K354" s="13"/>
      <c r="L354" s="164"/>
    </row>
    <row r="355" spans="1:12" x14ac:dyDescent="0.25">
      <c r="A355" s="110"/>
      <c r="B355" s="8"/>
      <c r="C355" s="8"/>
      <c r="D355" s="8"/>
      <c r="E355" s="13"/>
      <c r="F355" s="13"/>
      <c r="G355" s="13"/>
      <c r="H355" s="13"/>
      <c r="I355" s="8"/>
      <c r="J355" s="8"/>
      <c r="K355" s="13"/>
      <c r="L355" s="164"/>
    </row>
    <row r="356" spans="1:12" x14ac:dyDescent="0.25">
      <c r="A356" s="110"/>
      <c r="B356" s="8"/>
      <c r="C356" s="8"/>
      <c r="D356" s="8"/>
      <c r="E356" s="13"/>
      <c r="F356" s="13"/>
      <c r="G356" s="13"/>
      <c r="H356" s="13"/>
      <c r="I356" s="8"/>
      <c r="J356" s="8"/>
      <c r="K356" s="13"/>
      <c r="L356" s="164"/>
    </row>
    <row r="357" spans="1:12" x14ac:dyDescent="0.25">
      <c r="A357" s="110"/>
      <c r="B357" s="8"/>
      <c r="C357" s="8"/>
      <c r="D357" s="8"/>
      <c r="E357" s="13"/>
      <c r="F357" s="13"/>
      <c r="G357" s="13"/>
      <c r="H357" s="13"/>
      <c r="I357" s="8"/>
      <c r="J357" s="8"/>
      <c r="K357" s="13"/>
      <c r="L357" s="164"/>
    </row>
    <row r="358" spans="1:12" x14ac:dyDescent="0.25">
      <c r="A358" s="110"/>
      <c r="B358" s="8"/>
      <c r="C358" s="8"/>
      <c r="D358" s="8"/>
      <c r="E358" s="13"/>
      <c r="F358" s="13"/>
      <c r="G358" s="13"/>
      <c r="H358" s="13"/>
      <c r="I358" s="8"/>
      <c r="J358" s="8"/>
      <c r="K358" s="13"/>
      <c r="L358" s="164"/>
    </row>
    <row r="359" spans="1:12" x14ac:dyDescent="0.25">
      <c r="A359" s="110"/>
      <c r="B359" s="8"/>
      <c r="C359" s="8"/>
      <c r="D359" s="8"/>
      <c r="E359" s="13"/>
      <c r="F359" s="13"/>
      <c r="G359" s="13"/>
      <c r="H359" s="13"/>
      <c r="I359" s="8"/>
      <c r="J359" s="8"/>
      <c r="K359" s="13"/>
      <c r="L359" s="164"/>
    </row>
    <row r="360" spans="1:12" x14ac:dyDescent="0.25">
      <c r="A360" s="110"/>
      <c r="B360" s="8"/>
      <c r="C360" s="8"/>
      <c r="D360" s="8"/>
      <c r="E360" s="13"/>
      <c r="F360" s="13"/>
      <c r="G360" s="13"/>
      <c r="H360" s="13"/>
      <c r="I360" s="8"/>
      <c r="J360" s="8"/>
      <c r="K360" s="13"/>
      <c r="L360" s="164"/>
    </row>
    <row r="361" spans="1:12" x14ac:dyDescent="0.25">
      <c r="A361" s="110"/>
      <c r="B361" s="8"/>
      <c r="C361" s="8"/>
      <c r="D361" s="8"/>
      <c r="E361" s="13"/>
      <c r="F361" s="13"/>
      <c r="G361" s="13"/>
      <c r="H361" s="13"/>
      <c r="I361" s="8"/>
      <c r="J361" s="8"/>
      <c r="K361" s="13"/>
      <c r="L361" s="164"/>
    </row>
    <row r="362" spans="1:12" x14ac:dyDescent="0.25">
      <c r="A362" s="110"/>
      <c r="B362" s="8"/>
      <c r="C362" s="8"/>
      <c r="D362" s="8"/>
      <c r="E362" s="13"/>
      <c r="F362" s="13"/>
      <c r="G362" s="13"/>
      <c r="H362" s="13"/>
      <c r="I362" s="8"/>
      <c r="J362" s="8"/>
      <c r="K362" s="13"/>
      <c r="L362" s="164"/>
    </row>
    <row r="363" spans="1:12" x14ac:dyDescent="0.25">
      <c r="A363" s="110"/>
      <c r="B363" s="8"/>
      <c r="C363" s="8"/>
      <c r="D363" s="8"/>
      <c r="E363" s="13"/>
      <c r="F363" s="13"/>
      <c r="G363" s="13"/>
      <c r="H363" s="13"/>
      <c r="I363" s="8"/>
      <c r="J363" s="8"/>
      <c r="K363" s="13"/>
      <c r="L363" s="164"/>
    </row>
    <row r="364" spans="1:12" x14ac:dyDescent="0.25">
      <c r="A364" s="110"/>
      <c r="B364" s="8"/>
      <c r="C364" s="8"/>
      <c r="D364" s="8"/>
      <c r="E364" s="13"/>
      <c r="F364" s="13"/>
      <c r="G364" s="13"/>
      <c r="H364" s="13"/>
      <c r="I364" s="8"/>
      <c r="J364" s="8"/>
      <c r="K364" s="13"/>
      <c r="L364" s="164"/>
    </row>
    <row r="365" spans="1:12" x14ac:dyDescent="0.25">
      <c r="A365" s="110"/>
      <c r="B365" s="8"/>
      <c r="C365" s="8"/>
      <c r="D365" s="8"/>
      <c r="E365" s="13"/>
      <c r="F365" s="13"/>
      <c r="G365" s="13"/>
      <c r="H365" s="13"/>
      <c r="I365" s="8"/>
      <c r="J365" s="8"/>
      <c r="K365" s="13"/>
      <c r="L365" s="164"/>
    </row>
    <row r="366" spans="1:12" x14ac:dyDescent="0.25">
      <c r="A366" s="110"/>
      <c r="B366" s="8"/>
      <c r="C366" s="8"/>
      <c r="D366" s="8"/>
      <c r="E366" s="13"/>
      <c r="F366" s="13"/>
      <c r="G366" s="13"/>
      <c r="H366" s="13"/>
      <c r="I366" s="8"/>
      <c r="J366" s="8"/>
      <c r="K366" s="13"/>
      <c r="L366" s="164"/>
    </row>
    <row r="367" spans="1:12" x14ac:dyDescent="0.25">
      <c r="A367" s="110"/>
      <c r="B367" s="8"/>
      <c r="C367" s="8"/>
      <c r="D367" s="8"/>
      <c r="E367" s="13"/>
      <c r="F367" s="13"/>
      <c r="G367" s="13"/>
      <c r="H367" s="13"/>
      <c r="I367" s="8"/>
      <c r="J367" s="8"/>
      <c r="K367" s="13"/>
      <c r="L367" s="164"/>
    </row>
    <row r="368" spans="1:12" x14ac:dyDescent="0.25">
      <c r="A368" s="110"/>
      <c r="B368" s="8"/>
      <c r="C368" s="8"/>
      <c r="D368" s="8"/>
      <c r="E368" s="13"/>
      <c r="F368" s="13"/>
      <c r="G368" s="13"/>
      <c r="H368" s="13"/>
      <c r="I368" s="8"/>
      <c r="J368" s="8"/>
      <c r="K368" s="13"/>
      <c r="L368" s="164"/>
    </row>
    <row r="369" spans="1:12" x14ac:dyDescent="0.25">
      <c r="A369" s="110"/>
      <c r="B369" s="8"/>
      <c r="C369" s="8"/>
      <c r="D369" s="8"/>
      <c r="E369" s="13"/>
      <c r="F369" s="13"/>
      <c r="G369" s="13"/>
      <c r="H369" s="13"/>
      <c r="I369" s="8"/>
      <c r="J369" s="8"/>
      <c r="K369" s="13"/>
      <c r="L369" s="164"/>
    </row>
    <row r="370" spans="1:12" x14ac:dyDescent="0.25">
      <c r="A370" s="110"/>
      <c r="B370" s="8"/>
      <c r="C370" s="8"/>
      <c r="D370" s="8"/>
      <c r="E370" s="13"/>
      <c r="F370" s="13"/>
      <c r="G370" s="13"/>
      <c r="H370" s="13"/>
      <c r="I370" s="8"/>
      <c r="J370" s="8"/>
      <c r="K370" s="13"/>
      <c r="L370" s="164"/>
    </row>
    <row r="371" spans="1:12" x14ac:dyDescent="0.25">
      <c r="A371" s="110"/>
      <c r="B371" s="8"/>
      <c r="C371" s="8"/>
      <c r="D371" s="8"/>
      <c r="E371" s="13"/>
      <c r="F371" s="13"/>
      <c r="G371" s="13"/>
      <c r="H371" s="13"/>
      <c r="I371" s="8"/>
      <c r="J371" s="8"/>
      <c r="K371" s="13"/>
      <c r="L371" s="164"/>
    </row>
    <row r="372" spans="1:12" x14ac:dyDescent="0.25">
      <c r="A372" s="110"/>
      <c r="B372" s="8"/>
      <c r="C372" s="8"/>
      <c r="D372" s="8"/>
      <c r="E372" s="13"/>
      <c r="F372" s="13"/>
      <c r="G372" s="13"/>
      <c r="H372" s="13"/>
      <c r="I372" s="8"/>
      <c r="J372" s="8"/>
      <c r="K372" s="13"/>
      <c r="L372" s="164"/>
    </row>
    <row r="373" spans="1:12" x14ac:dyDescent="0.25">
      <c r="A373" s="110"/>
      <c r="B373" s="8"/>
      <c r="C373" s="8"/>
      <c r="D373" s="8"/>
      <c r="E373" s="13"/>
      <c r="F373" s="13"/>
      <c r="G373" s="13"/>
      <c r="H373" s="13"/>
      <c r="I373" s="8"/>
      <c r="J373" s="8"/>
      <c r="K373" s="13"/>
      <c r="L373" s="164"/>
    </row>
    <row r="374" spans="1:12" x14ac:dyDescent="0.25">
      <c r="A374" s="110"/>
      <c r="B374" s="8"/>
      <c r="C374" s="8"/>
      <c r="D374" s="8"/>
      <c r="E374" s="13"/>
      <c r="F374" s="13"/>
      <c r="G374" s="13"/>
      <c r="H374" s="13"/>
      <c r="I374" s="8"/>
      <c r="J374" s="8"/>
      <c r="K374" s="13"/>
      <c r="L374" s="164"/>
    </row>
    <row r="375" spans="1:12" x14ac:dyDescent="0.25">
      <c r="A375" s="110"/>
      <c r="B375" s="8"/>
      <c r="C375" s="8"/>
      <c r="D375" s="8"/>
      <c r="E375" s="13"/>
      <c r="F375" s="13"/>
      <c r="G375" s="13"/>
      <c r="H375" s="13"/>
      <c r="I375" s="8"/>
      <c r="J375" s="8"/>
      <c r="K375" s="13"/>
      <c r="L375" s="164"/>
    </row>
    <row r="376" spans="1:12" x14ac:dyDescent="0.25">
      <c r="A376" s="110"/>
      <c r="B376" s="8"/>
      <c r="C376" s="8"/>
      <c r="D376" s="8"/>
      <c r="E376" s="13"/>
      <c r="F376" s="13"/>
      <c r="G376" s="13"/>
      <c r="H376" s="13"/>
      <c r="I376" s="8"/>
      <c r="J376" s="8"/>
      <c r="K376" s="13"/>
      <c r="L376" s="164"/>
    </row>
    <row r="377" spans="1:12" x14ac:dyDescent="0.25">
      <c r="A377" s="110"/>
      <c r="B377" s="8"/>
      <c r="C377" s="8"/>
      <c r="D377" s="8"/>
      <c r="E377" s="13"/>
      <c r="F377" s="13"/>
      <c r="G377" s="13"/>
      <c r="H377" s="13"/>
      <c r="I377" s="8"/>
      <c r="J377" s="8"/>
      <c r="K377" s="13"/>
      <c r="L377" s="164"/>
    </row>
    <row r="378" spans="1:12" x14ac:dyDescent="0.25">
      <c r="A378" s="110"/>
      <c r="B378" s="8"/>
      <c r="C378" s="8"/>
      <c r="D378" s="8"/>
      <c r="E378" s="13"/>
      <c r="F378" s="13"/>
      <c r="G378" s="13"/>
      <c r="H378" s="13"/>
      <c r="I378" s="8"/>
      <c r="J378" s="8"/>
      <c r="K378" s="13"/>
      <c r="L378" s="164"/>
    </row>
    <row r="379" spans="1:12" x14ac:dyDescent="0.25">
      <c r="A379" s="110"/>
      <c r="B379" s="8"/>
      <c r="C379" s="8"/>
      <c r="D379" s="8"/>
      <c r="E379" s="13"/>
      <c r="F379" s="13"/>
      <c r="G379" s="13"/>
      <c r="H379" s="13"/>
      <c r="I379" s="8"/>
      <c r="J379" s="8"/>
      <c r="K379" s="13"/>
      <c r="L379" s="164"/>
    </row>
    <row r="380" spans="1:12" x14ac:dyDescent="0.25">
      <c r="A380" s="110"/>
      <c r="B380" s="8"/>
      <c r="C380" s="8"/>
      <c r="D380" s="8"/>
      <c r="E380" s="13"/>
      <c r="F380" s="13"/>
      <c r="G380" s="13"/>
      <c r="H380" s="13"/>
      <c r="I380" s="8"/>
      <c r="J380" s="8"/>
      <c r="K380" s="13"/>
      <c r="L380" s="164"/>
    </row>
    <row r="381" spans="1:12" x14ac:dyDescent="0.25">
      <c r="A381" s="110"/>
      <c r="B381" s="8"/>
      <c r="C381" s="8"/>
      <c r="D381" s="8"/>
      <c r="E381" s="13"/>
      <c r="F381" s="13"/>
      <c r="G381" s="13"/>
      <c r="H381" s="13"/>
      <c r="I381" s="8"/>
      <c r="J381" s="8"/>
      <c r="K381" s="13"/>
      <c r="L381" s="164"/>
    </row>
    <row r="382" spans="1:12" x14ac:dyDescent="0.25">
      <c r="A382" s="110"/>
      <c r="B382" s="8"/>
      <c r="C382" s="8"/>
      <c r="D382" s="8"/>
      <c r="E382" s="13"/>
      <c r="F382" s="13"/>
      <c r="G382" s="13"/>
      <c r="H382" s="13"/>
      <c r="I382" s="8"/>
      <c r="J382" s="8"/>
      <c r="K382" s="13"/>
      <c r="L382" s="164"/>
    </row>
    <row r="383" spans="1:12" x14ac:dyDescent="0.25">
      <c r="A383" s="110"/>
      <c r="B383" s="8"/>
      <c r="C383" s="8"/>
      <c r="D383" s="8"/>
      <c r="E383" s="13"/>
      <c r="F383" s="13"/>
      <c r="G383" s="13"/>
      <c r="H383" s="13"/>
      <c r="I383" s="8"/>
      <c r="J383" s="8"/>
      <c r="K383" s="13"/>
      <c r="L383" s="164"/>
    </row>
    <row r="384" spans="1:12" x14ac:dyDescent="0.25">
      <c r="A384" s="110"/>
      <c r="B384" s="8"/>
      <c r="C384" s="8"/>
      <c r="D384" s="8"/>
      <c r="E384" s="13"/>
      <c r="F384" s="13"/>
      <c r="G384" s="13"/>
      <c r="H384" s="13"/>
      <c r="I384" s="8"/>
      <c r="J384" s="8"/>
      <c r="K384" s="13"/>
      <c r="L384" s="164"/>
    </row>
    <row r="385" spans="1:12" x14ac:dyDescent="0.25">
      <c r="A385" s="110"/>
      <c r="B385" s="8"/>
      <c r="C385" s="8"/>
      <c r="D385" s="8"/>
      <c r="E385" s="13"/>
      <c r="F385" s="13"/>
      <c r="G385" s="13"/>
      <c r="H385" s="13"/>
      <c r="I385" s="8"/>
      <c r="J385" s="8"/>
      <c r="K385" s="13"/>
      <c r="L385" s="164"/>
    </row>
    <row r="386" spans="1:12" x14ac:dyDescent="0.25">
      <c r="A386" s="110"/>
      <c r="B386" s="8"/>
      <c r="C386" s="8"/>
      <c r="D386" s="8"/>
      <c r="E386" s="13"/>
      <c r="F386" s="13"/>
      <c r="G386" s="13"/>
      <c r="H386" s="13"/>
      <c r="I386" s="8"/>
      <c r="J386" s="8"/>
      <c r="K386" s="13"/>
      <c r="L386" s="164"/>
    </row>
    <row r="387" spans="1:12" x14ac:dyDescent="0.25">
      <c r="A387" s="110"/>
      <c r="B387" s="8"/>
      <c r="C387" s="8"/>
      <c r="D387" s="8"/>
      <c r="E387" s="13"/>
      <c r="F387" s="13"/>
      <c r="G387" s="13"/>
      <c r="H387" s="13"/>
      <c r="I387" s="8"/>
      <c r="J387" s="8"/>
      <c r="K387" s="13"/>
      <c r="L387" s="164"/>
    </row>
    <row r="388" spans="1:12" x14ac:dyDescent="0.25">
      <c r="A388" s="110"/>
      <c r="B388" s="8"/>
      <c r="C388" s="8"/>
      <c r="D388" s="8"/>
      <c r="E388" s="13"/>
      <c r="F388" s="13"/>
      <c r="G388" s="13"/>
      <c r="H388" s="13"/>
      <c r="I388" s="8"/>
      <c r="J388" s="8"/>
      <c r="K388" s="13"/>
      <c r="L388" s="164"/>
    </row>
    <row r="389" spans="1:12" x14ac:dyDescent="0.25">
      <c r="A389" s="110"/>
      <c r="B389" s="8"/>
      <c r="C389" s="8"/>
      <c r="D389" s="8"/>
      <c r="E389" s="13"/>
      <c r="F389" s="13"/>
      <c r="G389" s="13"/>
      <c r="H389" s="13"/>
      <c r="I389" s="8"/>
      <c r="J389" s="8"/>
      <c r="K389" s="13"/>
      <c r="L389" s="164"/>
    </row>
    <row r="390" spans="1:12" x14ac:dyDescent="0.25">
      <c r="A390" s="110"/>
      <c r="B390" s="8"/>
      <c r="C390" s="8"/>
      <c r="D390" s="8"/>
      <c r="E390" s="13"/>
      <c r="F390" s="13"/>
      <c r="G390" s="13"/>
      <c r="H390" s="13"/>
      <c r="I390" s="8"/>
      <c r="J390" s="8"/>
      <c r="K390" s="13"/>
      <c r="L390" s="164"/>
    </row>
    <row r="391" spans="1:12" x14ac:dyDescent="0.25">
      <c r="A391" s="110"/>
      <c r="B391" s="8"/>
      <c r="C391" s="8"/>
      <c r="D391" s="8"/>
      <c r="E391" s="13"/>
      <c r="F391" s="13"/>
      <c r="G391" s="13"/>
      <c r="H391" s="13"/>
      <c r="I391" s="8"/>
      <c r="J391" s="8"/>
      <c r="K391" s="13"/>
      <c r="L391" s="164"/>
    </row>
    <row r="392" spans="1:12" x14ac:dyDescent="0.25">
      <c r="A392" s="110"/>
      <c r="B392" s="8"/>
      <c r="C392" s="8"/>
      <c r="D392" s="8"/>
      <c r="E392" s="13"/>
      <c r="F392" s="13"/>
      <c r="G392" s="13"/>
      <c r="H392" s="13"/>
      <c r="I392" s="8"/>
      <c r="J392" s="8"/>
      <c r="K392" s="13"/>
      <c r="L392" s="164"/>
    </row>
    <row r="393" spans="1:12" x14ac:dyDescent="0.25">
      <c r="A393" s="110"/>
      <c r="B393" s="8"/>
      <c r="C393" s="8"/>
      <c r="D393" s="8"/>
      <c r="E393" s="13"/>
      <c r="F393" s="13"/>
      <c r="G393" s="13"/>
      <c r="H393" s="13"/>
      <c r="I393" s="8"/>
      <c r="J393" s="8"/>
      <c r="K393" s="13"/>
      <c r="L393" s="164"/>
    </row>
    <row r="394" spans="1:12" x14ac:dyDescent="0.25">
      <c r="A394" s="110"/>
      <c r="B394" s="8"/>
      <c r="C394" s="8"/>
      <c r="D394" s="8"/>
      <c r="E394" s="13"/>
      <c r="F394" s="13"/>
      <c r="G394" s="13"/>
      <c r="H394" s="13"/>
      <c r="I394" s="8"/>
      <c r="J394" s="8"/>
      <c r="K394" s="13"/>
      <c r="L394" s="164"/>
    </row>
    <row r="395" spans="1:12" x14ac:dyDescent="0.25">
      <c r="A395" s="110"/>
      <c r="B395" s="8"/>
      <c r="C395" s="8"/>
      <c r="D395" s="8"/>
      <c r="E395" s="13"/>
      <c r="F395" s="13"/>
      <c r="G395" s="13"/>
      <c r="H395" s="13"/>
      <c r="I395" s="8"/>
      <c r="J395" s="8"/>
      <c r="K395" s="13"/>
      <c r="L395" s="164"/>
    </row>
    <row r="396" spans="1:12" x14ac:dyDescent="0.25">
      <c r="A396" s="110"/>
      <c r="B396" s="8"/>
      <c r="C396" s="8"/>
      <c r="D396" s="8"/>
      <c r="E396" s="13"/>
      <c r="F396" s="13"/>
      <c r="G396" s="13"/>
      <c r="H396" s="13"/>
      <c r="I396" s="8"/>
      <c r="J396" s="8"/>
      <c r="K396" s="13"/>
      <c r="L396" s="164"/>
    </row>
    <row r="397" spans="1:12" x14ac:dyDescent="0.25">
      <c r="A397" s="110"/>
      <c r="B397" s="8"/>
      <c r="C397" s="8"/>
      <c r="D397" s="8"/>
      <c r="E397" s="13"/>
      <c r="F397" s="13"/>
      <c r="G397" s="13"/>
      <c r="H397" s="13"/>
      <c r="I397" s="8"/>
      <c r="J397" s="8"/>
      <c r="K397" s="13"/>
      <c r="L397" s="164"/>
    </row>
    <row r="398" spans="1:12" x14ac:dyDescent="0.25">
      <c r="A398" s="110"/>
      <c r="B398" s="8"/>
      <c r="C398" s="8"/>
      <c r="D398" s="8"/>
      <c r="E398" s="13"/>
      <c r="F398" s="13"/>
      <c r="G398" s="13"/>
      <c r="H398" s="13"/>
      <c r="I398" s="8"/>
      <c r="J398" s="8"/>
      <c r="K398" s="13"/>
      <c r="L398" s="164"/>
    </row>
    <row r="399" spans="1:12" x14ac:dyDescent="0.25">
      <c r="A399" s="110"/>
      <c r="B399" s="8"/>
      <c r="C399" s="8"/>
      <c r="D399" s="8"/>
      <c r="E399" s="13"/>
      <c r="F399" s="13"/>
      <c r="G399" s="13"/>
      <c r="H399" s="13"/>
      <c r="I399" s="8"/>
      <c r="J399" s="8"/>
      <c r="K399" s="13"/>
      <c r="L399" s="164"/>
    </row>
    <row r="400" spans="1:12" x14ac:dyDescent="0.25">
      <c r="A400" s="110"/>
      <c r="B400" s="8"/>
      <c r="C400" s="8"/>
      <c r="D400" s="8"/>
      <c r="E400" s="13"/>
      <c r="F400" s="13"/>
      <c r="G400" s="13"/>
      <c r="H400" s="13"/>
      <c r="I400" s="8"/>
      <c r="J400" s="8"/>
      <c r="K400" s="13"/>
      <c r="L400" s="164"/>
    </row>
    <row r="401" spans="1:12" x14ac:dyDescent="0.25">
      <c r="A401" s="110"/>
      <c r="B401" s="8"/>
      <c r="C401" s="8"/>
      <c r="D401" s="8"/>
      <c r="E401" s="13"/>
      <c r="F401" s="13"/>
      <c r="G401" s="13"/>
      <c r="H401" s="13"/>
      <c r="I401" s="8"/>
      <c r="J401" s="8"/>
      <c r="K401" s="13"/>
      <c r="L401" s="164"/>
    </row>
    <row r="402" spans="1:12" x14ac:dyDescent="0.25">
      <c r="A402" s="110"/>
      <c r="B402" s="8"/>
      <c r="C402" s="8"/>
      <c r="D402" s="8"/>
      <c r="E402" s="13"/>
      <c r="F402" s="13"/>
      <c r="G402" s="13"/>
      <c r="H402" s="13"/>
      <c r="I402" s="8"/>
      <c r="J402" s="8"/>
      <c r="K402" s="13"/>
      <c r="L402" s="164"/>
    </row>
    <row r="403" spans="1:12" x14ac:dyDescent="0.25">
      <c r="A403" s="110"/>
      <c r="B403" s="8"/>
      <c r="C403" s="8"/>
      <c r="D403" s="8"/>
      <c r="E403" s="13"/>
      <c r="F403" s="13"/>
      <c r="G403" s="13"/>
      <c r="H403" s="13"/>
      <c r="I403" s="8"/>
      <c r="J403" s="8"/>
      <c r="K403" s="13"/>
      <c r="L403" s="164"/>
    </row>
    <row r="404" spans="1:12" x14ac:dyDescent="0.25">
      <c r="A404" s="110"/>
      <c r="B404" s="8"/>
      <c r="C404" s="8"/>
      <c r="D404" s="8"/>
      <c r="E404" s="13"/>
      <c r="F404" s="13"/>
      <c r="G404" s="13"/>
      <c r="H404" s="13"/>
      <c r="I404" s="8"/>
      <c r="J404" s="8"/>
      <c r="K404" s="13"/>
      <c r="L404" s="164"/>
    </row>
    <row r="405" spans="1:12" x14ac:dyDescent="0.25">
      <c r="A405" s="110"/>
      <c r="B405" s="8"/>
      <c r="C405" s="8"/>
      <c r="D405" s="8"/>
      <c r="E405" s="13"/>
      <c r="F405" s="13"/>
      <c r="G405" s="13"/>
      <c r="H405" s="13"/>
      <c r="I405" s="8"/>
      <c r="J405" s="8"/>
      <c r="K405" s="13"/>
      <c r="L405" s="164"/>
    </row>
    <row r="406" spans="1:12" x14ac:dyDescent="0.25">
      <c r="A406" s="110"/>
      <c r="B406" s="8"/>
      <c r="C406" s="8"/>
      <c r="D406" s="8"/>
      <c r="E406" s="13"/>
      <c r="F406" s="13"/>
      <c r="G406" s="13"/>
      <c r="H406" s="13"/>
      <c r="I406" s="8"/>
      <c r="J406" s="8"/>
      <c r="K406" s="13"/>
      <c r="L406" s="164"/>
    </row>
    <row r="407" spans="1:12" x14ac:dyDescent="0.25">
      <c r="A407" s="110"/>
      <c r="B407" s="8"/>
      <c r="C407" s="8"/>
      <c r="D407" s="8"/>
      <c r="E407" s="13"/>
      <c r="F407" s="13"/>
      <c r="G407" s="13"/>
      <c r="H407" s="13"/>
      <c r="I407" s="8"/>
      <c r="J407" s="8"/>
      <c r="K407" s="13"/>
      <c r="L407" s="164"/>
    </row>
    <row r="408" spans="1:12" x14ac:dyDescent="0.25">
      <c r="A408" s="110"/>
      <c r="B408" s="8"/>
      <c r="C408" s="8"/>
      <c r="D408" s="8"/>
      <c r="E408" s="13"/>
      <c r="F408" s="13"/>
      <c r="G408" s="13"/>
      <c r="H408" s="13"/>
      <c r="I408" s="8"/>
      <c r="J408" s="8"/>
      <c r="K408" s="13"/>
      <c r="L408" s="164"/>
    </row>
    <row r="409" spans="1:12" x14ac:dyDescent="0.25">
      <c r="A409" s="110"/>
      <c r="B409" s="8"/>
      <c r="C409" s="8"/>
      <c r="D409" s="8"/>
      <c r="E409" s="13"/>
      <c r="F409" s="13"/>
      <c r="G409" s="13"/>
      <c r="H409" s="13"/>
      <c r="I409" s="8"/>
      <c r="J409" s="8"/>
      <c r="K409" s="13"/>
      <c r="L409" s="164"/>
    </row>
    <row r="410" spans="1:12" x14ac:dyDescent="0.25">
      <c r="A410" s="110"/>
      <c r="B410" s="8"/>
      <c r="C410" s="8"/>
      <c r="D410" s="8"/>
      <c r="E410" s="13"/>
      <c r="F410" s="13"/>
      <c r="G410" s="13"/>
      <c r="H410" s="13"/>
      <c r="I410" s="8"/>
      <c r="J410" s="8"/>
      <c r="K410" s="13"/>
      <c r="L410" s="164"/>
    </row>
    <row r="411" spans="1:12" x14ac:dyDescent="0.25">
      <c r="A411" s="110"/>
      <c r="B411" s="8"/>
      <c r="C411" s="8"/>
      <c r="D411" s="8"/>
      <c r="E411" s="13"/>
      <c r="F411" s="13"/>
      <c r="G411" s="13"/>
      <c r="H411" s="13"/>
      <c r="I411" s="8"/>
      <c r="J411" s="8"/>
      <c r="K411" s="13"/>
      <c r="L411" s="164"/>
    </row>
    <row r="412" spans="1:12" x14ac:dyDescent="0.25">
      <c r="A412" s="110"/>
      <c r="B412" s="8"/>
      <c r="C412" s="8"/>
      <c r="D412" s="8"/>
      <c r="E412" s="13"/>
      <c r="F412" s="13"/>
      <c r="G412" s="13"/>
      <c r="H412" s="13"/>
      <c r="I412" s="8"/>
      <c r="J412" s="8"/>
      <c r="K412" s="13"/>
      <c r="L412" s="164"/>
    </row>
    <row r="413" spans="1:12" x14ac:dyDescent="0.25">
      <c r="A413" s="110"/>
      <c r="B413" s="8"/>
      <c r="C413" s="8"/>
      <c r="D413" s="8"/>
      <c r="E413" s="13"/>
      <c r="F413" s="13"/>
      <c r="G413" s="13"/>
      <c r="H413" s="13"/>
      <c r="I413" s="8"/>
      <c r="J413" s="8"/>
      <c r="K413" s="13"/>
      <c r="L413" s="164"/>
    </row>
    <row r="414" spans="1:12" x14ac:dyDescent="0.25">
      <c r="A414" s="110"/>
      <c r="B414" s="8"/>
      <c r="C414" s="8"/>
      <c r="D414" s="8"/>
      <c r="E414" s="13"/>
      <c r="F414" s="13"/>
      <c r="G414" s="13"/>
      <c r="H414" s="13"/>
      <c r="I414" s="8"/>
      <c r="J414" s="8"/>
      <c r="K414" s="13"/>
      <c r="L414" s="164"/>
    </row>
    <row r="415" spans="1:12" x14ac:dyDescent="0.25">
      <c r="A415" s="110"/>
      <c r="B415" s="8"/>
      <c r="C415" s="8"/>
      <c r="D415" s="8"/>
      <c r="E415" s="13"/>
      <c r="F415" s="13"/>
      <c r="G415" s="13"/>
      <c r="H415" s="13"/>
      <c r="I415" s="8"/>
      <c r="J415" s="8"/>
      <c r="K415" s="13"/>
      <c r="L415" s="164"/>
    </row>
    <row r="416" spans="1:12" x14ac:dyDescent="0.25">
      <c r="A416" s="110"/>
      <c r="B416" s="8"/>
      <c r="C416" s="8"/>
      <c r="D416" s="8"/>
      <c r="E416" s="13"/>
      <c r="F416" s="13"/>
      <c r="G416" s="13"/>
      <c r="H416" s="13"/>
      <c r="I416" s="8"/>
      <c r="J416" s="8"/>
      <c r="K416" s="13"/>
      <c r="L416" s="164"/>
    </row>
    <row r="417" spans="1:12" x14ac:dyDescent="0.25">
      <c r="A417" s="110"/>
      <c r="B417" s="8"/>
      <c r="C417" s="8"/>
      <c r="D417" s="8"/>
      <c r="E417" s="13"/>
      <c r="F417" s="13"/>
      <c r="G417" s="13"/>
      <c r="H417" s="13"/>
      <c r="I417" s="8"/>
      <c r="J417" s="8"/>
      <c r="K417" s="13"/>
      <c r="L417" s="164"/>
    </row>
    <row r="418" spans="1:12" x14ac:dyDescent="0.25">
      <c r="A418" s="110"/>
      <c r="B418" s="8"/>
      <c r="C418" s="8"/>
      <c r="D418" s="8"/>
      <c r="E418" s="13"/>
      <c r="F418" s="13"/>
      <c r="G418" s="13"/>
      <c r="H418" s="13"/>
      <c r="I418" s="8"/>
      <c r="J418" s="8"/>
      <c r="K418" s="13"/>
      <c r="L418" s="164"/>
    </row>
    <row r="419" spans="1:12" x14ac:dyDescent="0.25">
      <c r="A419" s="110"/>
      <c r="B419" s="8"/>
      <c r="C419" s="8"/>
      <c r="D419" s="8"/>
      <c r="E419" s="13"/>
      <c r="F419" s="13"/>
      <c r="G419" s="13"/>
      <c r="H419" s="13"/>
      <c r="I419" s="8"/>
      <c r="J419" s="8"/>
      <c r="K419" s="13"/>
      <c r="L419" s="164"/>
    </row>
    <row r="420" spans="1:12" x14ac:dyDescent="0.25">
      <c r="A420" s="110"/>
      <c r="B420" s="8"/>
      <c r="C420" s="8"/>
      <c r="D420" s="8"/>
      <c r="E420" s="13"/>
      <c r="F420" s="13"/>
      <c r="G420" s="13"/>
      <c r="H420" s="13"/>
      <c r="I420" s="8"/>
      <c r="J420" s="8"/>
      <c r="K420" s="13"/>
      <c r="L420" s="164"/>
    </row>
    <row r="421" spans="1:12" x14ac:dyDescent="0.25">
      <c r="A421" s="110"/>
      <c r="B421" s="8"/>
      <c r="C421" s="8"/>
      <c r="D421" s="8"/>
      <c r="E421" s="13"/>
      <c r="F421" s="13"/>
      <c r="G421" s="13"/>
      <c r="H421" s="13"/>
      <c r="I421" s="8"/>
      <c r="J421" s="8"/>
      <c r="K421" s="13"/>
      <c r="L421" s="164"/>
    </row>
    <row r="422" spans="1:12" x14ac:dyDescent="0.25">
      <c r="A422" s="110"/>
      <c r="B422" s="8"/>
      <c r="C422" s="8"/>
      <c r="D422" s="8"/>
      <c r="E422" s="13"/>
      <c r="F422" s="13"/>
      <c r="G422" s="13"/>
      <c r="H422" s="13"/>
      <c r="I422" s="8"/>
      <c r="J422" s="8"/>
      <c r="K422" s="13"/>
      <c r="L422" s="164"/>
    </row>
    <row r="423" spans="1:12" x14ac:dyDescent="0.25">
      <c r="A423" s="110"/>
      <c r="B423" s="8"/>
      <c r="C423" s="8"/>
      <c r="D423" s="8"/>
      <c r="E423" s="13"/>
      <c r="F423" s="13"/>
      <c r="G423" s="13"/>
      <c r="H423" s="13"/>
      <c r="I423" s="8"/>
      <c r="J423" s="8"/>
      <c r="K423" s="13"/>
      <c r="L423" s="164"/>
    </row>
    <row r="424" spans="1:12" x14ac:dyDescent="0.25">
      <c r="A424" s="110"/>
      <c r="B424" s="8"/>
      <c r="C424" s="8"/>
      <c r="D424" s="8"/>
      <c r="E424" s="13"/>
      <c r="F424" s="13"/>
      <c r="G424" s="13"/>
      <c r="H424" s="13"/>
      <c r="I424" s="8"/>
      <c r="J424" s="8"/>
      <c r="K424" s="13"/>
      <c r="L424" s="164"/>
    </row>
    <row r="425" spans="1:12" x14ac:dyDescent="0.25">
      <c r="A425" s="110"/>
      <c r="B425" s="8"/>
      <c r="C425" s="8"/>
      <c r="D425" s="8"/>
      <c r="E425" s="13"/>
      <c r="F425" s="13"/>
      <c r="G425" s="13"/>
      <c r="H425" s="13"/>
      <c r="I425" s="8"/>
      <c r="J425" s="8"/>
      <c r="K425" s="13"/>
      <c r="L425" s="164"/>
    </row>
    <row r="426" spans="1:12" x14ac:dyDescent="0.25">
      <c r="A426" s="110"/>
      <c r="B426" s="8"/>
      <c r="C426" s="8"/>
      <c r="D426" s="8"/>
      <c r="E426" s="13"/>
      <c r="F426" s="13"/>
      <c r="G426" s="13"/>
      <c r="H426" s="13"/>
      <c r="I426" s="8"/>
      <c r="J426" s="8"/>
      <c r="K426" s="13"/>
      <c r="L426" s="164"/>
    </row>
    <row r="427" spans="1:12" x14ac:dyDescent="0.25">
      <c r="A427" s="110"/>
      <c r="B427" s="8"/>
      <c r="C427" s="8"/>
      <c r="D427" s="8"/>
      <c r="E427" s="13"/>
      <c r="F427" s="13"/>
      <c r="G427" s="13"/>
      <c r="H427" s="13"/>
      <c r="I427" s="8"/>
      <c r="J427" s="8"/>
      <c r="K427" s="13"/>
      <c r="L427" s="164"/>
    </row>
    <row r="428" spans="1:12" x14ac:dyDescent="0.25">
      <c r="A428" s="110"/>
      <c r="B428" s="8"/>
      <c r="C428" s="8"/>
      <c r="D428" s="8"/>
      <c r="E428" s="13"/>
      <c r="F428" s="13"/>
      <c r="G428" s="13"/>
      <c r="H428" s="13"/>
      <c r="I428" s="8"/>
      <c r="J428" s="8"/>
      <c r="K428" s="13"/>
      <c r="L428" s="164"/>
    </row>
    <row r="429" spans="1:12" x14ac:dyDescent="0.25">
      <c r="A429" s="110"/>
      <c r="B429" s="8"/>
      <c r="C429" s="8"/>
      <c r="D429" s="8"/>
      <c r="E429" s="13"/>
      <c r="F429" s="13"/>
      <c r="G429" s="13"/>
      <c r="H429" s="13"/>
      <c r="I429" s="8"/>
      <c r="J429" s="8"/>
      <c r="K429" s="13"/>
      <c r="L429" s="164"/>
    </row>
    <row r="430" spans="1:12" x14ac:dyDescent="0.25">
      <c r="A430" s="110"/>
      <c r="B430" s="8"/>
      <c r="C430" s="8"/>
      <c r="D430" s="8"/>
      <c r="E430" s="13"/>
      <c r="F430" s="13"/>
      <c r="G430" s="13"/>
      <c r="H430" s="13"/>
      <c r="I430" s="8"/>
      <c r="J430" s="8"/>
      <c r="K430" s="13"/>
      <c r="L430" s="164"/>
    </row>
    <row r="431" spans="1:12" x14ac:dyDescent="0.25">
      <c r="A431" s="110"/>
      <c r="B431" s="8"/>
      <c r="C431" s="8"/>
      <c r="D431" s="8"/>
      <c r="E431" s="13"/>
      <c r="F431" s="13"/>
      <c r="G431" s="13"/>
      <c r="H431" s="13"/>
      <c r="I431" s="8"/>
      <c r="J431" s="8"/>
      <c r="K431" s="13"/>
      <c r="L431" s="164"/>
    </row>
    <row r="432" spans="1:12" x14ac:dyDescent="0.25">
      <c r="A432" s="110"/>
      <c r="B432" s="8"/>
      <c r="C432" s="8"/>
      <c r="D432" s="8"/>
      <c r="E432" s="13"/>
      <c r="F432" s="13"/>
      <c r="G432" s="13"/>
      <c r="H432" s="13"/>
      <c r="I432" s="8"/>
      <c r="J432" s="8"/>
      <c r="K432" s="13"/>
      <c r="L432" s="164"/>
    </row>
    <row r="433" spans="1:12" x14ac:dyDescent="0.25">
      <c r="A433" s="110"/>
      <c r="B433" s="8"/>
      <c r="C433" s="8"/>
      <c r="D433" s="8"/>
      <c r="E433" s="13"/>
      <c r="F433" s="13"/>
      <c r="G433" s="13"/>
      <c r="H433" s="13"/>
      <c r="I433" s="8"/>
      <c r="J433" s="8"/>
      <c r="K433" s="13"/>
      <c r="L433" s="164"/>
    </row>
    <row r="434" spans="1:12" x14ac:dyDescent="0.25">
      <c r="A434" s="110"/>
      <c r="B434" s="8"/>
      <c r="C434" s="8"/>
      <c r="D434" s="8"/>
      <c r="E434" s="13"/>
      <c r="F434" s="13"/>
      <c r="G434" s="13"/>
      <c r="H434" s="13"/>
      <c r="I434" s="8"/>
      <c r="J434" s="8"/>
      <c r="K434" s="13"/>
      <c r="L434" s="164"/>
    </row>
    <row r="435" spans="1:12" x14ac:dyDescent="0.25">
      <c r="A435" s="110"/>
      <c r="B435" s="8"/>
      <c r="C435" s="8"/>
      <c r="D435" s="8"/>
      <c r="E435" s="13"/>
      <c r="F435" s="13"/>
      <c r="G435" s="13"/>
      <c r="H435" s="13"/>
      <c r="I435" s="8"/>
      <c r="J435" s="8"/>
      <c r="K435" s="13"/>
      <c r="L435" s="164"/>
    </row>
    <row r="436" spans="1:12" x14ac:dyDescent="0.25">
      <c r="A436" s="110"/>
      <c r="B436" s="8"/>
      <c r="C436" s="8"/>
      <c r="D436" s="8"/>
      <c r="E436" s="13"/>
      <c r="F436" s="13"/>
      <c r="G436" s="13"/>
      <c r="H436" s="13"/>
      <c r="I436" s="8"/>
      <c r="J436" s="8"/>
      <c r="K436" s="13"/>
      <c r="L436" s="164"/>
    </row>
    <row r="437" spans="1:12" x14ac:dyDescent="0.25">
      <c r="A437" s="110"/>
      <c r="B437" s="8"/>
      <c r="C437" s="8"/>
      <c r="D437" s="8"/>
      <c r="E437" s="13"/>
      <c r="F437" s="13"/>
      <c r="G437" s="13"/>
      <c r="H437" s="13"/>
      <c r="I437" s="8"/>
      <c r="J437" s="8"/>
      <c r="K437" s="13"/>
      <c r="L437" s="164"/>
    </row>
    <row r="438" spans="1:12" x14ac:dyDescent="0.25">
      <c r="A438" s="110"/>
      <c r="B438" s="8"/>
      <c r="C438" s="8"/>
      <c r="D438" s="8"/>
      <c r="E438" s="13"/>
      <c r="F438" s="13"/>
      <c r="G438" s="13"/>
      <c r="H438" s="13"/>
      <c r="I438" s="8"/>
      <c r="J438" s="8"/>
      <c r="K438" s="13"/>
      <c r="L438" s="164"/>
    </row>
    <row r="439" spans="1:12" x14ac:dyDescent="0.25">
      <c r="A439" s="110"/>
      <c r="B439" s="8"/>
      <c r="C439" s="8"/>
      <c r="D439" s="8"/>
      <c r="E439" s="13"/>
      <c r="F439" s="13"/>
      <c r="G439" s="13"/>
      <c r="H439" s="13"/>
      <c r="I439" s="8"/>
      <c r="J439" s="8"/>
      <c r="K439" s="13"/>
      <c r="L439" s="164"/>
    </row>
    <row r="440" spans="1:12" x14ac:dyDescent="0.25">
      <c r="A440" s="110"/>
      <c r="B440" s="8"/>
      <c r="C440" s="8"/>
      <c r="D440" s="8"/>
      <c r="E440" s="13"/>
      <c r="F440" s="13"/>
      <c r="G440" s="13"/>
      <c r="H440" s="13"/>
      <c r="I440" s="8"/>
      <c r="J440" s="8"/>
      <c r="K440" s="13"/>
      <c r="L440" s="164"/>
    </row>
    <row r="441" spans="1:12" x14ac:dyDescent="0.25">
      <c r="A441" s="110"/>
      <c r="B441" s="8"/>
      <c r="C441" s="8"/>
      <c r="D441" s="8"/>
      <c r="E441" s="13"/>
      <c r="F441" s="13"/>
      <c r="G441" s="13"/>
      <c r="H441" s="13"/>
      <c r="I441" s="8"/>
      <c r="J441" s="8"/>
      <c r="K441" s="13"/>
      <c r="L441" s="164"/>
    </row>
    <row r="442" spans="1:12" x14ac:dyDescent="0.25">
      <c r="A442" s="110"/>
      <c r="B442" s="8"/>
      <c r="C442" s="8"/>
      <c r="D442" s="8"/>
      <c r="E442" s="13"/>
      <c r="F442" s="13"/>
      <c r="G442" s="13"/>
      <c r="H442" s="13"/>
      <c r="I442" s="8"/>
      <c r="J442" s="8"/>
      <c r="K442" s="13"/>
      <c r="L442" s="164"/>
    </row>
    <row r="443" spans="1:12" x14ac:dyDescent="0.25">
      <c r="A443" s="110"/>
      <c r="B443" s="8"/>
      <c r="C443" s="8"/>
      <c r="D443" s="8"/>
      <c r="E443" s="13"/>
      <c r="F443" s="13"/>
      <c r="G443" s="13"/>
      <c r="H443" s="13"/>
      <c r="I443" s="8"/>
      <c r="J443" s="8"/>
      <c r="K443" s="13"/>
      <c r="L443" s="164"/>
    </row>
    <row r="444" spans="1:12" x14ac:dyDescent="0.25">
      <c r="A444" s="110"/>
      <c r="B444" s="8"/>
      <c r="C444" s="8"/>
      <c r="D444" s="8"/>
      <c r="E444" s="13"/>
      <c r="F444" s="13"/>
      <c r="G444" s="13"/>
      <c r="H444" s="13"/>
      <c r="I444" s="8"/>
      <c r="J444" s="8"/>
      <c r="K444" s="13"/>
      <c r="L444" s="164"/>
    </row>
    <row r="445" spans="1:12" x14ac:dyDescent="0.25">
      <c r="A445" s="110"/>
      <c r="B445" s="8"/>
      <c r="C445" s="8"/>
      <c r="D445" s="8"/>
      <c r="E445" s="13"/>
      <c r="F445" s="13"/>
      <c r="G445" s="13"/>
      <c r="H445" s="13"/>
      <c r="I445" s="8"/>
      <c r="J445" s="8"/>
      <c r="K445" s="13"/>
      <c r="L445" s="164"/>
    </row>
    <row r="446" spans="1:12" x14ac:dyDescent="0.25">
      <c r="A446" s="110"/>
      <c r="B446" s="8"/>
      <c r="C446" s="8"/>
      <c r="D446" s="8"/>
      <c r="E446" s="13"/>
      <c r="F446" s="13"/>
      <c r="G446" s="13"/>
      <c r="H446" s="13"/>
      <c r="I446" s="8"/>
      <c r="J446" s="8"/>
      <c r="K446" s="13"/>
      <c r="L446" s="164"/>
    </row>
    <row r="447" spans="1:12" x14ac:dyDescent="0.25">
      <c r="A447" s="110"/>
      <c r="B447" s="8"/>
      <c r="C447" s="8"/>
      <c r="D447" s="8"/>
      <c r="E447" s="13"/>
      <c r="F447" s="13"/>
      <c r="G447" s="13"/>
      <c r="H447" s="13"/>
      <c r="I447" s="8"/>
      <c r="J447" s="8"/>
      <c r="K447" s="13"/>
      <c r="L447" s="164"/>
    </row>
    <row r="448" spans="1:12" x14ac:dyDescent="0.25">
      <c r="A448" s="110"/>
      <c r="B448" s="8"/>
      <c r="C448" s="8"/>
      <c r="D448" s="8"/>
      <c r="E448" s="13"/>
      <c r="F448" s="13"/>
      <c r="G448" s="13"/>
      <c r="H448" s="13"/>
      <c r="I448" s="8"/>
      <c r="J448" s="8"/>
      <c r="K448" s="13"/>
      <c r="L448" s="164"/>
    </row>
    <row r="449" spans="1:12" x14ac:dyDescent="0.25">
      <c r="A449" s="110"/>
      <c r="B449" s="8"/>
      <c r="C449" s="8"/>
      <c r="D449" s="8"/>
      <c r="E449" s="13"/>
      <c r="F449" s="13"/>
      <c r="G449" s="13"/>
      <c r="H449" s="13"/>
      <c r="I449" s="8"/>
      <c r="J449" s="8"/>
      <c r="K449" s="13"/>
      <c r="L449" s="164"/>
    </row>
    <row r="450" spans="1:12" x14ac:dyDescent="0.25">
      <c r="A450" s="110"/>
      <c r="B450" s="8"/>
      <c r="C450" s="8"/>
      <c r="D450" s="8"/>
      <c r="E450" s="13"/>
      <c r="F450" s="13"/>
      <c r="G450" s="13"/>
      <c r="H450" s="13"/>
      <c r="I450" s="8"/>
      <c r="J450" s="8"/>
      <c r="K450" s="13"/>
      <c r="L450" s="164"/>
    </row>
    <row r="451" spans="1:12" x14ac:dyDescent="0.25">
      <c r="A451" s="110"/>
      <c r="B451" s="8"/>
      <c r="C451" s="8"/>
      <c r="D451" s="8"/>
      <c r="E451" s="13"/>
      <c r="F451" s="13"/>
      <c r="G451" s="13"/>
      <c r="H451" s="13"/>
      <c r="I451" s="8"/>
      <c r="J451" s="8"/>
      <c r="K451" s="13"/>
      <c r="L451" s="164"/>
    </row>
    <row r="452" spans="1:12" x14ac:dyDescent="0.25">
      <c r="A452" s="110"/>
      <c r="B452" s="8"/>
      <c r="C452" s="8"/>
      <c r="D452" s="8"/>
      <c r="E452" s="13"/>
      <c r="F452" s="13"/>
      <c r="G452" s="13"/>
      <c r="H452" s="13"/>
      <c r="I452" s="8"/>
      <c r="J452" s="8"/>
      <c r="K452" s="13"/>
      <c r="L452" s="164"/>
    </row>
    <row r="453" spans="1:12" x14ac:dyDescent="0.25">
      <c r="A453" s="110"/>
      <c r="B453" s="8"/>
      <c r="C453" s="8"/>
      <c r="D453" s="8"/>
      <c r="E453" s="13"/>
      <c r="F453" s="13"/>
      <c r="G453" s="13"/>
      <c r="H453" s="13"/>
      <c r="I453" s="8"/>
      <c r="J453" s="8"/>
      <c r="K453" s="13"/>
      <c r="L453" s="164"/>
    </row>
    <row r="454" spans="1:12" x14ac:dyDescent="0.25">
      <c r="A454" s="110"/>
      <c r="B454" s="8"/>
      <c r="C454" s="8"/>
      <c r="D454" s="8"/>
      <c r="E454" s="13"/>
      <c r="F454" s="13"/>
      <c r="G454" s="13"/>
      <c r="H454" s="13"/>
      <c r="I454" s="8"/>
      <c r="J454" s="8"/>
      <c r="K454" s="13"/>
      <c r="L454" s="164"/>
    </row>
    <row r="455" spans="1:12" x14ac:dyDescent="0.25">
      <c r="A455" s="110"/>
      <c r="B455" s="8"/>
      <c r="C455" s="8"/>
      <c r="D455" s="8"/>
      <c r="E455" s="13"/>
      <c r="F455" s="13"/>
      <c r="G455" s="13"/>
      <c r="H455" s="13"/>
      <c r="I455" s="8"/>
      <c r="J455" s="8"/>
      <c r="K455" s="13"/>
      <c r="L455" s="164"/>
    </row>
    <row r="456" spans="1:12" x14ac:dyDescent="0.25">
      <c r="A456" s="110"/>
      <c r="B456" s="8"/>
      <c r="C456" s="8"/>
      <c r="D456" s="8"/>
      <c r="E456" s="13"/>
      <c r="F456" s="13"/>
      <c r="G456" s="13"/>
      <c r="H456" s="13"/>
      <c r="I456" s="8"/>
      <c r="J456" s="8"/>
      <c r="K456" s="13"/>
      <c r="L456" s="164"/>
    </row>
    <row r="457" spans="1:12" x14ac:dyDescent="0.25">
      <c r="A457" s="110"/>
      <c r="B457" s="8"/>
      <c r="C457" s="8"/>
      <c r="D457" s="8"/>
      <c r="E457" s="13"/>
      <c r="F457" s="13"/>
      <c r="G457" s="13"/>
      <c r="H457" s="13"/>
      <c r="I457" s="8"/>
      <c r="J457" s="8"/>
      <c r="K457" s="13"/>
      <c r="L457" s="164"/>
    </row>
    <row r="458" spans="1:12" x14ac:dyDescent="0.25">
      <c r="A458" s="110"/>
      <c r="B458" s="8"/>
      <c r="C458" s="8"/>
      <c r="D458" s="8"/>
      <c r="E458" s="13"/>
      <c r="F458" s="13"/>
      <c r="G458" s="13"/>
      <c r="H458" s="13"/>
      <c r="I458" s="8"/>
      <c r="J458" s="8"/>
      <c r="K458" s="13"/>
      <c r="L458" s="164"/>
    </row>
    <row r="459" spans="1:12" x14ac:dyDescent="0.25">
      <c r="A459" s="110"/>
      <c r="B459" s="8"/>
      <c r="C459" s="8"/>
      <c r="D459" s="8"/>
      <c r="E459" s="13"/>
      <c r="F459" s="13"/>
      <c r="G459" s="13"/>
      <c r="H459" s="13"/>
      <c r="I459" s="8"/>
      <c r="J459" s="8"/>
      <c r="K459" s="13"/>
      <c r="L459" s="164"/>
    </row>
    <row r="460" spans="1:12" x14ac:dyDescent="0.25">
      <c r="A460" s="110"/>
      <c r="B460" s="8"/>
      <c r="C460" s="8"/>
      <c r="D460" s="8"/>
      <c r="E460" s="13"/>
      <c r="F460" s="13"/>
      <c r="G460" s="13"/>
      <c r="H460" s="13"/>
      <c r="I460" s="8"/>
      <c r="J460" s="8"/>
      <c r="K460" s="13"/>
      <c r="L460" s="164"/>
    </row>
    <row r="461" spans="1:12" x14ac:dyDescent="0.25">
      <c r="A461" s="110"/>
      <c r="B461" s="8"/>
      <c r="C461" s="8"/>
      <c r="D461" s="8"/>
      <c r="E461" s="13"/>
      <c r="F461" s="13"/>
      <c r="G461" s="13"/>
      <c r="H461" s="13"/>
      <c r="I461" s="8"/>
      <c r="J461" s="8"/>
      <c r="K461" s="13"/>
      <c r="L461" s="164"/>
    </row>
    <row r="462" spans="1:12" x14ac:dyDescent="0.25">
      <c r="A462" s="110"/>
      <c r="B462" s="8"/>
      <c r="C462" s="8"/>
      <c r="D462" s="8"/>
      <c r="E462" s="13"/>
      <c r="F462" s="13"/>
      <c r="G462" s="13"/>
      <c r="H462" s="13"/>
      <c r="I462" s="8"/>
      <c r="J462" s="8"/>
      <c r="K462" s="13"/>
      <c r="L462" s="164"/>
    </row>
    <row r="463" spans="1:12" x14ac:dyDescent="0.25">
      <c r="A463" s="110"/>
      <c r="B463" s="8"/>
      <c r="C463" s="8"/>
      <c r="D463" s="8"/>
      <c r="E463" s="13"/>
      <c r="F463" s="13"/>
      <c r="G463" s="13"/>
      <c r="H463" s="13"/>
      <c r="I463" s="8"/>
      <c r="J463" s="8"/>
      <c r="K463" s="13"/>
      <c r="L463" s="164"/>
    </row>
    <row r="464" spans="1:12" x14ac:dyDescent="0.25">
      <c r="A464" s="110"/>
      <c r="B464" s="8"/>
      <c r="C464" s="8"/>
      <c r="D464" s="8"/>
      <c r="E464" s="13"/>
      <c r="F464" s="13"/>
      <c r="G464" s="13"/>
      <c r="H464" s="13"/>
      <c r="I464" s="8"/>
      <c r="J464" s="8"/>
      <c r="K464" s="13"/>
      <c r="L464" s="164"/>
    </row>
    <row r="465" spans="1:12" x14ac:dyDescent="0.25">
      <c r="A465" s="110"/>
      <c r="B465" s="8"/>
      <c r="C465" s="8"/>
      <c r="D465" s="8"/>
      <c r="E465" s="13"/>
      <c r="F465" s="13"/>
      <c r="G465" s="13"/>
      <c r="H465" s="13"/>
      <c r="I465" s="8"/>
      <c r="J465" s="8"/>
      <c r="K465" s="13"/>
      <c r="L465" s="164"/>
    </row>
    <row r="466" spans="1:12" x14ac:dyDescent="0.25">
      <c r="A466" s="110"/>
      <c r="B466" s="8"/>
      <c r="C466" s="8"/>
      <c r="D466" s="8"/>
      <c r="E466" s="13"/>
      <c r="F466" s="13"/>
      <c r="G466" s="13"/>
      <c r="H466" s="13"/>
      <c r="I466" s="8"/>
      <c r="J466" s="8"/>
      <c r="K466" s="13"/>
      <c r="L466" s="164"/>
    </row>
    <row r="467" spans="1:12" x14ac:dyDescent="0.25">
      <c r="A467" s="110"/>
      <c r="B467" s="8"/>
      <c r="C467" s="8"/>
      <c r="D467" s="8"/>
      <c r="E467" s="13"/>
      <c r="F467" s="13"/>
      <c r="G467" s="13"/>
      <c r="H467" s="13"/>
      <c r="I467" s="8"/>
      <c r="J467" s="8"/>
      <c r="K467" s="13"/>
      <c r="L467" s="164"/>
    </row>
    <row r="468" spans="1:12" x14ac:dyDescent="0.25">
      <c r="A468" s="110"/>
      <c r="B468" s="8"/>
      <c r="C468" s="8"/>
      <c r="D468" s="8"/>
      <c r="E468" s="13"/>
      <c r="F468" s="13"/>
      <c r="G468" s="13"/>
      <c r="H468" s="13"/>
      <c r="I468" s="8"/>
      <c r="J468" s="8"/>
      <c r="K468" s="13"/>
      <c r="L468" s="164"/>
    </row>
    <row r="469" spans="1:12" x14ac:dyDescent="0.25">
      <c r="A469" s="110"/>
      <c r="B469" s="8"/>
      <c r="C469" s="8"/>
      <c r="D469" s="8"/>
      <c r="E469" s="13"/>
      <c r="F469" s="13"/>
      <c r="G469" s="13"/>
      <c r="H469" s="13"/>
      <c r="I469" s="8"/>
      <c r="J469" s="8"/>
      <c r="K469" s="13"/>
      <c r="L469" s="164"/>
    </row>
    <row r="470" spans="1:12" x14ac:dyDescent="0.25">
      <c r="A470" s="110"/>
      <c r="B470" s="8"/>
      <c r="C470" s="8"/>
      <c r="D470" s="8"/>
      <c r="E470" s="13"/>
      <c r="F470" s="13"/>
      <c r="G470" s="13"/>
      <c r="H470" s="13"/>
      <c r="I470" s="8"/>
      <c r="J470" s="8"/>
      <c r="K470" s="13"/>
      <c r="L470" s="164"/>
    </row>
    <row r="471" spans="1:12" x14ac:dyDescent="0.25">
      <c r="A471" s="110"/>
      <c r="B471" s="8"/>
      <c r="C471" s="8"/>
      <c r="D471" s="8"/>
      <c r="E471" s="13"/>
      <c r="F471" s="13"/>
      <c r="G471" s="13"/>
      <c r="H471" s="13"/>
      <c r="I471" s="8"/>
      <c r="J471" s="8"/>
      <c r="K471" s="13"/>
      <c r="L471" s="164"/>
    </row>
    <row r="472" spans="1:12" x14ac:dyDescent="0.25">
      <c r="A472" s="110"/>
      <c r="B472" s="8"/>
      <c r="C472" s="8"/>
      <c r="D472" s="8"/>
      <c r="E472" s="13"/>
      <c r="F472" s="13"/>
      <c r="G472" s="13"/>
      <c r="H472" s="13"/>
      <c r="I472" s="8"/>
      <c r="J472" s="8"/>
      <c r="K472" s="13"/>
      <c r="L472" s="164"/>
    </row>
    <row r="473" spans="1:12" x14ac:dyDescent="0.25">
      <c r="A473" s="110"/>
      <c r="B473" s="8"/>
      <c r="C473" s="8"/>
      <c r="D473" s="8"/>
      <c r="E473" s="13"/>
      <c r="F473" s="13"/>
      <c r="G473" s="13"/>
      <c r="H473" s="13"/>
      <c r="I473" s="8"/>
      <c r="J473" s="8"/>
      <c r="K473" s="13"/>
      <c r="L473" s="164"/>
    </row>
    <row r="474" spans="1:12" x14ac:dyDescent="0.25">
      <c r="A474" s="110"/>
      <c r="B474" s="8"/>
      <c r="C474" s="8"/>
      <c r="D474" s="8"/>
      <c r="E474" s="13"/>
      <c r="F474" s="13"/>
      <c r="G474" s="13"/>
      <c r="H474" s="13"/>
      <c r="I474" s="8"/>
      <c r="J474" s="8"/>
      <c r="K474" s="13"/>
      <c r="L474" s="164"/>
    </row>
    <row r="475" spans="1:12" x14ac:dyDescent="0.25">
      <c r="A475" s="110"/>
      <c r="B475" s="8"/>
      <c r="C475" s="8"/>
      <c r="D475" s="8"/>
      <c r="E475" s="13"/>
      <c r="F475" s="13"/>
      <c r="G475" s="13"/>
      <c r="H475" s="13"/>
      <c r="I475" s="8"/>
      <c r="J475" s="8"/>
      <c r="K475" s="13"/>
      <c r="L475" s="164"/>
    </row>
    <row r="476" spans="1:12" x14ac:dyDescent="0.25">
      <c r="A476" s="110"/>
      <c r="B476" s="8"/>
      <c r="C476" s="8"/>
      <c r="D476" s="8"/>
      <c r="E476" s="13"/>
      <c r="F476" s="13"/>
      <c r="G476" s="13"/>
      <c r="H476" s="13"/>
      <c r="I476" s="8"/>
      <c r="J476" s="8"/>
      <c r="K476" s="13"/>
      <c r="L476" s="164"/>
    </row>
    <row r="477" spans="1:12" x14ac:dyDescent="0.25">
      <c r="A477" s="110"/>
      <c r="B477" s="8"/>
      <c r="C477" s="8"/>
      <c r="D477" s="8"/>
      <c r="E477" s="13"/>
      <c r="F477" s="13"/>
      <c r="G477" s="13"/>
      <c r="H477" s="13"/>
      <c r="I477" s="8"/>
      <c r="J477" s="8"/>
      <c r="K477" s="13"/>
      <c r="L477" s="164"/>
    </row>
    <row r="478" spans="1:12" x14ac:dyDescent="0.25">
      <c r="A478" s="110"/>
      <c r="B478" s="8"/>
      <c r="C478" s="8"/>
      <c r="D478" s="8"/>
      <c r="E478" s="13"/>
      <c r="F478" s="13"/>
      <c r="G478" s="13"/>
      <c r="H478" s="13"/>
      <c r="I478" s="8"/>
      <c r="J478" s="8"/>
      <c r="K478" s="13"/>
      <c r="L478" s="164"/>
    </row>
    <row r="479" spans="1:12" x14ac:dyDescent="0.25">
      <c r="A479" s="110"/>
      <c r="B479" s="8"/>
      <c r="C479" s="8"/>
      <c r="D479" s="8"/>
      <c r="E479" s="13"/>
      <c r="F479" s="13"/>
      <c r="G479" s="13"/>
      <c r="H479" s="13"/>
      <c r="I479" s="8"/>
      <c r="J479" s="8"/>
      <c r="K479" s="13"/>
      <c r="L479" s="164"/>
    </row>
    <row r="480" spans="1:12" x14ac:dyDescent="0.25">
      <c r="A480" s="110"/>
      <c r="B480" s="8"/>
      <c r="C480" s="8"/>
      <c r="D480" s="8"/>
      <c r="E480" s="13"/>
      <c r="F480" s="13"/>
      <c r="G480" s="13"/>
      <c r="H480" s="13"/>
      <c r="I480" s="8"/>
      <c r="J480" s="8"/>
      <c r="K480" s="13"/>
      <c r="L480" s="164"/>
    </row>
    <row r="481" spans="1:12" x14ac:dyDescent="0.25">
      <c r="A481" s="110"/>
      <c r="B481" s="8"/>
      <c r="C481" s="8"/>
      <c r="D481" s="8"/>
      <c r="E481" s="13"/>
      <c r="F481" s="13"/>
      <c r="G481" s="13"/>
      <c r="H481" s="13"/>
      <c r="I481" s="8"/>
      <c r="J481" s="8"/>
      <c r="K481" s="13"/>
      <c r="L481" s="164"/>
    </row>
    <row r="482" spans="1:12" x14ac:dyDescent="0.25">
      <c r="A482" s="110"/>
      <c r="B482" s="8"/>
      <c r="C482" s="8"/>
      <c r="D482" s="8"/>
      <c r="E482" s="13"/>
      <c r="F482" s="13"/>
      <c r="G482" s="13"/>
      <c r="H482" s="13"/>
      <c r="I482" s="8"/>
      <c r="J482" s="8"/>
      <c r="K482" s="13"/>
      <c r="L482" s="164"/>
    </row>
    <row r="483" spans="1:12" x14ac:dyDescent="0.25">
      <c r="A483" s="110"/>
      <c r="B483" s="8"/>
      <c r="C483" s="8"/>
      <c r="D483" s="8"/>
      <c r="E483" s="13"/>
      <c r="F483" s="13"/>
      <c r="G483" s="13"/>
      <c r="H483" s="13"/>
      <c r="I483" s="8"/>
      <c r="J483" s="8"/>
      <c r="K483" s="13"/>
      <c r="L483" s="164"/>
    </row>
    <row r="484" spans="1:12" x14ac:dyDescent="0.25">
      <c r="A484" s="110"/>
      <c r="B484" s="8"/>
      <c r="C484" s="8"/>
      <c r="D484" s="8"/>
      <c r="E484" s="13"/>
      <c r="F484" s="13"/>
      <c r="G484" s="13"/>
      <c r="H484" s="13"/>
      <c r="I484" s="8"/>
      <c r="J484" s="8"/>
      <c r="K484" s="13"/>
      <c r="L484" s="164"/>
    </row>
    <row r="485" spans="1:12" x14ac:dyDescent="0.25">
      <c r="A485" s="110"/>
      <c r="B485" s="8"/>
      <c r="C485" s="8"/>
      <c r="D485" s="8"/>
      <c r="E485" s="13"/>
      <c r="F485" s="13"/>
      <c r="G485" s="13"/>
      <c r="H485" s="13"/>
      <c r="I485" s="8"/>
      <c r="J485" s="8"/>
      <c r="K485" s="13"/>
      <c r="L485" s="164"/>
    </row>
    <row r="486" spans="1:12" x14ac:dyDescent="0.25">
      <c r="A486" s="110"/>
      <c r="B486" s="8"/>
      <c r="C486" s="8"/>
      <c r="D486" s="8"/>
      <c r="E486" s="13"/>
      <c r="F486" s="13"/>
      <c r="G486" s="13"/>
      <c r="H486" s="13"/>
      <c r="I486" s="8"/>
      <c r="J486" s="8"/>
      <c r="K486" s="13"/>
      <c r="L486" s="164"/>
    </row>
    <row r="487" spans="1:12" x14ac:dyDescent="0.25">
      <c r="A487" s="110"/>
      <c r="B487" s="8"/>
      <c r="C487" s="8"/>
      <c r="D487" s="8"/>
      <c r="E487" s="13"/>
      <c r="F487" s="13"/>
      <c r="G487" s="13"/>
      <c r="H487" s="13"/>
      <c r="I487" s="8"/>
      <c r="J487" s="8"/>
      <c r="K487" s="13"/>
      <c r="L487" s="164"/>
    </row>
    <row r="488" spans="1:12" x14ac:dyDescent="0.25">
      <c r="A488" s="110"/>
      <c r="B488" s="8"/>
      <c r="C488" s="8"/>
      <c r="D488" s="8"/>
      <c r="E488" s="13"/>
      <c r="F488" s="13"/>
      <c r="G488" s="13"/>
      <c r="H488" s="13"/>
      <c r="I488" s="8"/>
      <c r="J488" s="8"/>
      <c r="K488" s="13"/>
      <c r="L488" s="164"/>
    </row>
    <row r="489" spans="1:12" x14ac:dyDescent="0.25">
      <c r="A489" s="110"/>
      <c r="B489" s="8"/>
      <c r="C489" s="8"/>
      <c r="D489" s="8"/>
      <c r="E489" s="13"/>
      <c r="F489" s="13"/>
      <c r="G489" s="13"/>
      <c r="H489" s="13"/>
      <c r="I489" s="8"/>
      <c r="J489" s="8"/>
      <c r="K489" s="13"/>
      <c r="L489" s="164"/>
    </row>
    <row r="490" spans="1:12" x14ac:dyDescent="0.25">
      <c r="A490" s="110"/>
      <c r="B490" s="8"/>
      <c r="C490" s="8"/>
      <c r="D490" s="8"/>
      <c r="E490" s="13"/>
      <c r="F490" s="13"/>
      <c r="G490" s="13"/>
      <c r="H490" s="13"/>
      <c r="I490" s="8"/>
      <c r="J490" s="8"/>
      <c r="K490" s="13"/>
      <c r="L490" s="164"/>
    </row>
    <row r="491" spans="1:12" x14ac:dyDescent="0.25">
      <c r="A491" s="110"/>
      <c r="B491" s="8"/>
      <c r="C491" s="8"/>
      <c r="D491" s="8"/>
      <c r="E491" s="13"/>
      <c r="F491" s="13"/>
      <c r="G491" s="13"/>
      <c r="H491" s="13"/>
      <c r="I491" s="8"/>
      <c r="J491" s="8"/>
      <c r="K491" s="13"/>
      <c r="L491" s="164"/>
    </row>
    <row r="492" spans="1:12" x14ac:dyDescent="0.25">
      <c r="A492" s="110"/>
      <c r="B492" s="8"/>
      <c r="C492" s="8"/>
      <c r="D492" s="8"/>
      <c r="E492" s="13"/>
      <c r="F492" s="13"/>
      <c r="G492" s="13"/>
      <c r="H492" s="13"/>
      <c r="I492" s="8"/>
      <c r="J492" s="8"/>
      <c r="K492" s="13"/>
      <c r="L492" s="164"/>
    </row>
    <row r="493" spans="1:12" x14ac:dyDescent="0.25">
      <c r="A493" s="110"/>
      <c r="B493" s="8"/>
      <c r="C493" s="8"/>
      <c r="D493" s="8"/>
      <c r="E493" s="13"/>
      <c r="F493" s="13"/>
      <c r="G493" s="13"/>
      <c r="H493" s="13"/>
      <c r="I493" s="8"/>
      <c r="J493" s="8"/>
      <c r="K493" s="13"/>
      <c r="L493" s="164"/>
    </row>
    <row r="494" spans="1:12" x14ac:dyDescent="0.25">
      <c r="A494" s="110"/>
      <c r="B494" s="8"/>
      <c r="C494" s="8"/>
      <c r="D494" s="8"/>
      <c r="E494" s="13"/>
      <c r="F494" s="13"/>
      <c r="G494" s="13"/>
      <c r="H494" s="13"/>
      <c r="I494" s="8"/>
      <c r="J494" s="8"/>
      <c r="K494" s="13"/>
      <c r="L494" s="164"/>
    </row>
    <row r="495" spans="1:12" x14ac:dyDescent="0.25">
      <c r="A495" s="110"/>
      <c r="B495" s="8"/>
      <c r="C495" s="8"/>
      <c r="D495" s="8"/>
      <c r="E495" s="13"/>
      <c r="F495" s="13"/>
      <c r="G495" s="13"/>
      <c r="H495" s="13"/>
      <c r="I495" s="8"/>
      <c r="J495" s="8"/>
      <c r="K495" s="13"/>
      <c r="L495" s="164"/>
    </row>
    <row r="496" spans="1:12" x14ac:dyDescent="0.25">
      <c r="A496" s="110"/>
      <c r="B496" s="8"/>
      <c r="C496" s="8"/>
      <c r="D496" s="8"/>
      <c r="E496" s="13"/>
      <c r="F496" s="13"/>
      <c r="G496" s="13"/>
      <c r="H496" s="13"/>
      <c r="I496" s="8"/>
      <c r="J496" s="8"/>
      <c r="K496" s="13"/>
      <c r="L496" s="164"/>
    </row>
    <row r="497" spans="1:12" x14ac:dyDescent="0.25">
      <c r="A497" s="110"/>
      <c r="B497" s="8"/>
      <c r="C497" s="8"/>
      <c r="D497" s="8"/>
      <c r="E497" s="13"/>
      <c r="F497" s="13"/>
      <c r="G497" s="13"/>
      <c r="H497" s="13"/>
      <c r="I497" s="8"/>
      <c r="J497" s="8"/>
      <c r="K497" s="13"/>
      <c r="L497" s="164"/>
    </row>
    <row r="498" spans="1:12" x14ac:dyDescent="0.25">
      <c r="A498" s="110"/>
      <c r="B498" s="8"/>
      <c r="C498" s="8"/>
      <c r="D498" s="8"/>
      <c r="E498" s="13"/>
      <c r="F498" s="13"/>
      <c r="G498" s="13"/>
      <c r="H498" s="13"/>
      <c r="I498" s="8"/>
      <c r="J498" s="8"/>
      <c r="K498" s="13"/>
      <c r="L498" s="164"/>
    </row>
    <row r="499" spans="1:12" x14ac:dyDescent="0.25">
      <c r="A499" s="110"/>
      <c r="B499" s="8"/>
      <c r="C499" s="8"/>
      <c r="D499" s="8"/>
      <c r="E499" s="13"/>
      <c r="F499" s="13"/>
      <c r="G499" s="13"/>
      <c r="H499" s="13"/>
      <c r="I499" s="8"/>
      <c r="J499" s="8"/>
      <c r="K499" s="13"/>
      <c r="L499" s="164"/>
    </row>
    <row r="500" spans="1:12" x14ac:dyDescent="0.25">
      <c r="A500" s="110"/>
      <c r="B500" s="8"/>
      <c r="C500" s="8"/>
      <c r="D500" s="8"/>
      <c r="E500" s="13"/>
      <c r="F500" s="13"/>
      <c r="G500" s="13"/>
      <c r="H500" s="13"/>
      <c r="I500" s="8"/>
      <c r="J500" s="8"/>
      <c r="K500" s="13"/>
      <c r="L500" s="164"/>
    </row>
    <row r="501" spans="1:12" x14ac:dyDescent="0.25">
      <c r="A501" s="110"/>
      <c r="B501" s="8"/>
      <c r="C501" s="8"/>
      <c r="D501" s="8"/>
      <c r="E501" s="13"/>
      <c r="F501" s="13"/>
      <c r="G501" s="13"/>
      <c r="H501" s="13"/>
      <c r="I501" s="8"/>
      <c r="J501" s="8"/>
      <c r="K501" s="13"/>
      <c r="L501" s="164"/>
    </row>
    <row r="502" spans="1:12" x14ac:dyDescent="0.25">
      <c r="A502" s="110"/>
      <c r="B502" s="8"/>
      <c r="C502" s="8"/>
      <c r="D502" s="8"/>
      <c r="E502" s="13"/>
      <c r="F502" s="13"/>
      <c r="G502" s="13"/>
      <c r="H502" s="13"/>
      <c r="I502" s="8"/>
      <c r="J502" s="8"/>
      <c r="K502" s="13"/>
      <c r="L502" s="164"/>
    </row>
    <row r="503" spans="1:12" x14ac:dyDescent="0.25">
      <c r="A503" s="110"/>
      <c r="B503" s="8"/>
      <c r="C503" s="8"/>
      <c r="D503" s="8"/>
      <c r="E503" s="13"/>
      <c r="F503" s="13"/>
      <c r="G503" s="13"/>
      <c r="H503" s="13"/>
      <c r="I503" s="8"/>
      <c r="J503" s="8"/>
      <c r="K503" s="13"/>
      <c r="L503" s="164"/>
    </row>
    <row r="504" spans="1:12" x14ac:dyDescent="0.25">
      <c r="A504" s="110"/>
      <c r="B504" s="8"/>
      <c r="C504" s="8"/>
      <c r="D504" s="8"/>
      <c r="E504" s="13"/>
      <c r="F504" s="13"/>
      <c r="G504" s="13"/>
      <c r="H504" s="13"/>
      <c r="I504" s="8"/>
      <c r="J504" s="8"/>
      <c r="K504" s="13"/>
      <c r="L504" s="164"/>
    </row>
    <row r="505" spans="1:12" x14ac:dyDescent="0.25">
      <c r="A505" s="110"/>
      <c r="B505" s="8"/>
      <c r="C505" s="8"/>
      <c r="D505" s="8"/>
      <c r="E505" s="13"/>
      <c r="F505" s="13"/>
      <c r="G505" s="13"/>
      <c r="H505" s="13"/>
      <c r="I505" s="8"/>
      <c r="J505" s="8"/>
      <c r="K505" s="13"/>
      <c r="L505" s="164"/>
    </row>
    <row r="506" spans="1:12" x14ac:dyDescent="0.25">
      <c r="A506" s="110"/>
      <c r="B506" s="8"/>
      <c r="C506" s="8"/>
      <c r="D506" s="8"/>
      <c r="E506" s="13"/>
      <c r="F506" s="13"/>
      <c r="G506" s="13"/>
      <c r="H506" s="13"/>
      <c r="I506" s="8"/>
      <c r="J506" s="8"/>
      <c r="K506" s="13"/>
      <c r="L506" s="164"/>
    </row>
    <row r="507" spans="1:12" x14ac:dyDescent="0.25">
      <c r="A507" s="110"/>
      <c r="B507" s="8"/>
      <c r="C507" s="8"/>
      <c r="D507" s="8"/>
      <c r="E507" s="13"/>
      <c r="F507" s="13"/>
      <c r="G507" s="13"/>
      <c r="H507" s="13"/>
      <c r="I507" s="8"/>
      <c r="J507" s="8"/>
      <c r="K507" s="13"/>
      <c r="L507" s="164"/>
    </row>
    <row r="508" spans="1:12" x14ac:dyDescent="0.25">
      <c r="A508" s="110"/>
      <c r="B508" s="8"/>
      <c r="C508" s="8"/>
      <c r="D508" s="8"/>
      <c r="E508" s="13"/>
      <c r="F508" s="13"/>
      <c r="G508" s="13"/>
      <c r="H508" s="13"/>
      <c r="I508" s="8"/>
      <c r="J508" s="8"/>
      <c r="K508" s="13"/>
      <c r="L508" s="164"/>
    </row>
    <row r="509" spans="1:12" x14ac:dyDescent="0.25">
      <c r="A509" s="110"/>
      <c r="B509" s="8"/>
      <c r="C509" s="8"/>
      <c r="D509" s="8"/>
      <c r="E509" s="13"/>
      <c r="F509" s="13"/>
      <c r="G509" s="13"/>
      <c r="H509" s="13"/>
      <c r="I509" s="8"/>
      <c r="J509" s="8"/>
      <c r="K509" s="13"/>
      <c r="L509" s="164"/>
    </row>
    <row r="510" spans="1:12" x14ac:dyDescent="0.25">
      <c r="A510" s="110"/>
      <c r="B510" s="8"/>
      <c r="C510" s="8"/>
      <c r="D510" s="8"/>
      <c r="E510" s="13"/>
      <c r="F510" s="13"/>
      <c r="G510" s="13"/>
      <c r="H510" s="13"/>
      <c r="I510" s="8"/>
      <c r="J510" s="8"/>
      <c r="K510" s="13"/>
      <c r="L510" s="164"/>
    </row>
    <row r="511" spans="1:12" x14ac:dyDescent="0.25">
      <c r="A511" s="110"/>
      <c r="B511" s="8"/>
      <c r="C511" s="8"/>
      <c r="D511" s="8"/>
      <c r="E511" s="13"/>
      <c r="F511" s="13"/>
      <c r="G511" s="13"/>
      <c r="H511" s="13"/>
      <c r="I511" s="8"/>
      <c r="J511" s="8"/>
      <c r="K511" s="13"/>
      <c r="L511" s="164"/>
    </row>
    <row r="512" spans="1:12" x14ac:dyDescent="0.25">
      <c r="A512" s="110"/>
      <c r="B512" s="8"/>
      <c r="C512" s="8"/>
      <c r="D512" s="8"/>
      <c r="E512" s="13"/>
      <c r="F512" s="13"/>
      <c r="G512" s="13"/>
      <c r="H512" s="13"/>
      <c r="I512" s="8"/>
      <c r="J512" s="8"/>
      <c r="K512" s="13"/>
      <c r="L512" s="164"/>
    </row>
    <row r="513" spans="1:12" x14ac:dyDescent="0.25">
      <c r="A513" s="110"/>
      <c r="B513" s="8"/>
      <c r="C513" s="8"/>
      <c r="D513" s="8"/>
      <c r="E513" s="13"/>
      <c r="F513" s="13"/>
      <c r="G513" s="13"/>
      <c r="H513" s="13"/>
      <c r="I513" s="8"/>
      <c r="J513" s="8"/>
      <c r="K513" s="13"/>
      <c r="L513" s="164"/>
    </row>
    <row r="514" spans="1:12" x14ac:dyDescent="0.25">
      <c r="A514" s="110"/>
      <c r="B514" s="8"/>
      <c r="C514" s="8"/>
      <c r="D514" s="8"/>
      <c r="E514" s="13"/>
      <c r="F514" s="13"/>
      <c r="G514" s="13"/>
      <c r="H514" s="13"/>
      <c r="I514" s="8"/>
      <c r="J514" s="8"/>
      <c r="K514" s="13"/>
      <c r="L514" s="164"/>
    </row>
    <row r="515" spans="1:12" x14ac:dyDescent="0.25">
      <c r="A515" s="110"/>
      <c r="B515" s="8"/>
      <c r="C515" s="8"/>
      <c r="D515" s="8"/>
      <c r="E515" s="13"/>
      <c r="F515" s="13"/>
      <c r="G515" s="13"/>
      <c r="H515" s="13"/>
      <c r="I515" s="8"/>
      <c r="J515" s="8"/>
      <c r="K515" s="13"/>
      <c r="L515" s="164"/>
    </row>
    <row r="516" spans="1:12" x14ac:dyDescent="0.25">
      <c r="A516" s="110"/>
      <c r="B516" s="8"/>
      <c r="C516" s="8"/>
      <c r="D516" s="8"/>
      <c r="E516" s="13"/>
      <c r="F516" s="13"/>
      <c r="G516" s="13"/>
      <c r="H516" s="13"/>
      <c r="I516" s="8"/>
      <c r="J516" s="8"/>
      <c r="K516" s="13"/>
      <c r="L516" s="164"/>
    </row>
    <row r="517" spans="1:12" x14ac:dyDescent="0.25">
      <c r="A517" s="110"/>
      <c r="B517" s="8"/>
      <c r="C517" s="8"/>
      <c r="D517" s="8"/>
      <c r="E517" s="13"/>
      <c r="F517" s="13"/>
      <c r="G517" s="13"/>
      <c r="H517" s="13"/>
      <c r="I517" s="8"/>
      <c r="J517" s="8"/>
      <c r="K517" s="13"/>
      <c r="L517" s="164"/>
    </row>
    <row r="518" spans="1:12" x14ac:dyDescent="0.25">
      <c r="A518" s="110"/>
      <c r="B518" s="8"/>
      <c r="C518" s="8"/>
      <c r="D518" s="8"/>
      <c r="E518" s="13"/>
      <c r="F518" s="13"/>
      <c r="G518" s="13"/>
      <c r="H518" s="13"/>
      <c r="I518" s="8"/>
      <c r="J518" s="8"/>
      <c r="K518" s="13"/>
      <c r="L518" s="164"/>
    </row>
    <row r="519" spans="1:12" x14ac:dyDescent="0.25">
      <c r="A519" s="110"/>
      <c r="B519" s="8"/>
      <c r="C519" s="8"/>
      <c r="D519" s="8"/>
      <c r="E519" s="13"/>
      <c r="F519" s="13"/>
      <c r="G519" s="13"/>
      <c r="H519" s="13"/>
      <c r="I519" s="8"/>
      <c r="J519" s="8"/>
      <c r="K519" s="13"/>
      <c r="L519" s="164"/>
    </row>
    <row r="520" spans="1:12" x14ac:dyDescent="0.25">
      <c r="A520" s="110"/>
      <c r="B520" s="8"/>
      <c r="C520" s="8"/>
      <c r="D520" s="8"/>
      <c r="E520" s="13"/>
      <c r="F520" s="13"/>
      <c r="G520" s="13"/>
      <c r="H520" s="13"/>
      <c r="I520" s="8"/>
      <c r="J520" s="8"/>
      <c r="K520" s="13"/>
      <c r="L520" s="164"/>
    </row>
    <row r="521" spans="1:12" x14ac:dyDescent="0.25">
      <c r="A521" s="110"/>
      <c r="B521" s="8"/>
      <c r="C521" s="8"/>
      <c r="D521" s="8"/>
      <c r="E521" s="13"/>
      <c r="F521" s="13"/>
      <c r="G521" s="13"/>
      <c r="H521" s="13"/>
      <c r="I521" s="8"/>
      <c r="J521" s="8"/>
      <c r="K521" s="13"/>
      <c r="L521" s="164"/>
    </row>
    <row r="522" spans="1:12" x14ac:dyDescent="0.25">
      <c r="A522" s="110"/>
      <c r="B522" s="8"/>
      <c r="C522" s="8"/>
      <c r="D522" s="8"/>
      <c r="E522" s="13"/>
      <c r="F522" s="13"/>
      <c r="G522" s="13"/>
      <c r="H522" s="13"/>
      <c r="I522" s="8"/>
      <c r="J522" s="8"/>
      <c r="K522" s="13"/>
      <c r="L522" s="164"/>
    </row>
    <row r="523" spans="1:12" x14ac:dyDescent="0.25">
      <c r="A523" s="110"/>
      <c r="B523" s="8"/>
      <c r="C523" s="8"/>
      <c r="D523" s="8"/>
      <c r="E523" s="13"/>
      <c r="F523" s="13"/>
      <c r="G523" s="13"/>
      <c r="H523" s="13"/>
      <c r="I523" s="8"/>
      <c r="J523" s="8"/>
      <c r="K523" s="13"/>
      <c r="L523" s="164"/>
    </row>
    <row r="524" spans="1:12" x14ac:dyDescent="0.25">
      <c r="A524" s="110"/>
      <c r="B524" s="8"/>
      <c r="C524" s="8"/>
      <c r="D524" s="8"/>
      <c r="E524" s="13"/>
      <c r="F524" s="13"/>
      <c r="G524" s="13"/>
      <c r="H524" s="13"/>
      <c r="I524" s="8"/>
      <c r="J524" s="8"/>
      <c r="K524" s="13"/>
      <c r="L524" s="164"/>
    </row>
    <row r="525" spans="1:12" x14ac:dyDescent="0.25">
      <c r="A525" s="110"/>
      <c r="B525" s="8"/>
      <c r="C525" s="8"/>
      <c r="D525" s="8"/>
      <c r="E525" s="13"/>
      <c r="F525" s="13"/>
      <c r="G525" s="13"/>
      <c r="H525" s="13"/>
      <c r="I525" s="8"/>
      <c r="J525" s="8"/>
      <c r="K525" s="13"/>
      <c r="L525" s="164"/>
    </row>
    <row r="526" spans="1:12" x14ac:dyDescent="0.25">
      <c r="A526" s="110"/>
      <c r="B526" s="8"/>
      <c r="C526" s="8"/>
      <c r="D526" s="8"/>
      <c r="E526" s="13"/>
      <c r="F526" s="13"/>
      <c r="G526" s="13"/>
      <c r="H526" s="13"/>
      <c r="I526" s="8"/>
      <c r="J526" s="8"/>
      <c r="K526" s="13"/>
      <c r="L526" s="164"/>
    </row>
    <row r="527" spans="1:12" x14ac:dyDescent="0.25">
      <c r="A527" s="110"/>
      <c r="B527" s="8"/>
      <c r="C527" s="8"/>
      <c r="D527" s="8"/>
      <c r="E527" s="13"/>
      <c r="F527" s="13"/>
      <c r="G527" s="13"/>
      <c r="H527" s="13"/>
      <c r="I527" s="8"/>
      <c r="J527" s="8"/>
      <c r="K527" s="13"/>
      <c r="L527" s="164"/>
    </row>
    <row r="528" spans="1:12" x14ac:dyDescent="0.25">
      <c r="A528" s="110"/>
      <c r="B528" s="8"/>
      <c r="C528" s="8"/>
      <c r="D528" s="8"/>
      <c r="E528" s="13"/>
      <c r="F528" s="13"/>
      <c r="G528" s="13"/>
      <c r="H528" s="13"/>
      <c r="I528" s="8"/>
      <c r="J528" s="8"/>
      <c r="K528" s="13"/>
      <c r="L528" s="164"/>
    </row>
    <row r="529" spans="1:12" x14ac:dyDescent="0.25">
      <c r="A529" s="110"/>
      <c r="B529" s="8"/>
      <c r="C529" s="8"/>
      <c r="D529" s="8"/>
      <c r="E529" s="13"/>
      <c r="F529" s="13"/>
      <c r="G529" s="13"/>
      <c r="H529" s="13"/>
      <c r="I529" s="8"/>
      <c r="J529" s="8"/>
      <c r="K529" s="13"/>
      <c r="L529" s="164"/>
    </row>
    <row r="530" spans="1:12" x14ac:dyDescent="0.25">
      <c r="A530" s="110"/>
      <c r="B530" s="8"/>
      <c r="C530" s="8"/>
      <c r="D530" s="8"/>
      <c r="E530" s="13"/>
      <c r="F530" s="13"/>
      <c r="G530" s="13"/>
      <c r="H530" s="13"/>
      <c r="I530" s="8"/>
      <c r="J530" s="8"/>
      <c r="K530" s="13"/>
      <c r="L530" s="164"/>
    </row>
    <row r="531" spans="1:12" x14ac:dyDescent="0.25">
      <c r="A531" s="110"/>
      <c r="B531" s="8"/>
      <c r="C531" s="8"/>
      <c r="D531" s="8"/>
      <c r="E531" s="13"/>
      <c r="F531" s="13"/>
      <c r="G531" s="13"/>
      <c r="H531" s="13"/>
      <c r="I531" s="8"/>
      <c r="J531" s="8"/>
      <c r="K531" s="13"/>
      <c r="L531" s="164"/>
    </row>
    <row r="532" spans="1:12" x14ac:dyDescent="0.25">
      <c r="A532" s="110"/>
      <c r="B532" s="8"/>
      <c r="C532" s="8"/>
      <c r="D532" s="8"/>
      <c r="E532" s="13"/>
      <c r="F532" s="13"/>
      <c r="G532" s="13"/>
      <c r="H532" s="13"/>
      <c r="I532" s="8"/>
      <c r="J532" s="8"/>
      <c r="K532" s="13"/>
      <c r="L532" s="164"/>
    </row>
    <row r="533" spans="1:12" x14ac:dyDescent="0.25">
      <c r="A533" s="110"/>
      <c r="B533" s="8"/>
      <c r="C533" s="8"/>
      <c r="D533" s="8"/>
      <c r="E533" s="13"/>
      <c r="F533" s="13"/>
      <c r="G533" s="13"/>
      <c r="H533" s="13"/>
      <c r="I533" s="8"/>
      <c r="J533" s="8"/>
      <c r="K533" s="13"/>
      <c r="L533" s="164"/>
    </row>
    <row r="534" spans="1:12" x14ac:dyDescent="0.25">
      <c r="A534" s="110"/>
      <c r="B534" s="8"/>
      <c r="C534" s="8"/>
      <c r="D534" s="8"/>
      <c r="E534" s="13"/>
      <c r="F534" s="13"/>
      <c r="G534" s="13"/>
      <c r="H534" s="13"/>
      <c r="I534" s="8"/>
      <c r="J534" s="8"/>
      <c r="K534" s="13"/>
      <c r="L534" s="164"/>
    </row>
    <row r="535" spans="1:12" x14ac:dyDescent="0.25">
      <c r="A535" s="110"/>
      <c r="B535" s="8"/>
      <c r="C535" s="8"/>
      <c r="D535" s="8"/>
      <c r="E535" s="13"/>
      <c r="F535" s="13"/>
      <c r="G535" s="13"/>
      <c r="H535" s="13"/>
      <c r="I535" s="8"/>
      <c r="J535" s="8"/>
      <c r="K535" s="13"/>
      <c r="L535" s="164"/>
    </row>
    <row r="536" spans="1:12" x14ac:dyDescent="0.25">
      <c r="A536" s="110"/>
      <c r="B536" s="8"/>
      <c r="C536" s="8"/>
      <c r="D536" s="8"/>
      <c r="E536" s="13"/>
      <c r="F536" s="13"/>
      <c r="G536" s="13"/>
      <c r="H536" s="13"/>
      <c r="I536" s="8"/>
      <c r="J536" s="8"/>
      <c r="K536" s="13"/>
      <c r="L536" s="164"/>
    </row>
    <row r="537" spans="1:12" x14ac:dyDescent="0.25">
      <c r="A537" s="110"/>
      <c r="B537" s="8"/>
      <c r="C537" s="8"/>
      <c r="D537" s="8"/>
      <c r="E537" s="13"/>
      <c r="F537" s="13"/>
      <c r="G537" s="13"/>
      <c r="H537" s="13"/>
      <c r="I537" s="8"/>
      <c r="J537" s="8"/>
      <c r="K537" s="13"/>
      <c r="L537" s="164"/>
    </row>
    <row r="538" spans="1:12" x14ac:dyDescent="0.25">
      <c r="A538" s="110"/>
      <c r="B538" s="8"/>
      <c r="C538" s="8"/>
      <c r="D538" s="8"/>
      <c r="E538" s="13"/>
      <c r="F538" s="13"/>
      <c r="G538" s="13"/>
      <c r="H538" s="13"/>
      <c r="I538" s="8"/>
      <c r="J538" s="8"/>
      <c r="K538" s="13"/>
      <c r="L538" s="164"/>
    </row>
    <row r="539" spans="1:12" x14ac:dyDescent="0.25">
      <c r="A539" s="110"/>
      <c r="B539" s="8"/>
      <c r="C539" s="8"/>
      <c r="D539" s="8"/>
      <c r="E539" s="13"/>
      <c r="F539" s="13"/>
      <c r="G539" s="13"/>
      <c r="H539" s="13"/>
      <c r="I539" s="8"/>
      <c r="J539" s="8"/>
      <c r="K539" s="13"/>
      <c r="L539" s="164"/>
    </row>
    <row r="540" spans="1:12" x14ac:dyDescent="0.25">
      <c r="A540" s="110"/>
      <c r="B540" s="8"/>
      <c r="C540" s="8"/>
      <c r="D540" s="8"/>
      <c r="E540" s="13"/>
      <c r="F540" s="13"/>
      <c r="G540" s="13"/>
      <c r="H540" s="13"/>
      <c r="I540" s="8"/>
      <c r="J540" s="8"/>
      <c r="K540" s="13"/>
      <c r="L540" s="164"/>
    </row>
    <row r="541" spans="1:12" x14ac:dyDescent="0.25">
      <c r="A541" s="110"/>
      <c r="B541" s="8"/>
      <c r="C541" s="8"/>
      <c r="D541" s="8"/>
      <c r="E541" s="13"/>
      <c r="F541" s="13"/>
      <c r="G541" s="13"/>
      <c r="H541" s="13"/>
      <c r="I541" s="8"/>
      <c r="J541" s="8"/>
      <c r="K541" s="13"/>
      <c r="L541" s="164"/>
    </row>
    <row r="542" spans="1:12" x14ac:dyDescent="0.25">
      <c r="A542" s="110"/>
      <c r="B542" s="8"/>
      <c r="C542" s="8"/>
      <c r="D542" s="8"/>
      <c r="E542" s="13"/>
      <c r="F542" s="13"/>
      <c r="G542" s="13"/>
      <c r="H542" s="13"/>
      <c r="I542" s="8"/>
      <c r="J542" s="8"/>
      <c r="K542" s="13"/>
      <c r="L542" s="164"/>
    </row>
    <row r="543" spans="1:12" ht="15.75" thickBot="1" x14ac:dyDescent="0.3">
      <c r="A543" s="103"/>
      <c r="B543" s="104"/>
      <c r="C543" s="104"/>
      <c r="D543" s="104"/>
      <c r="E543" s="165"/>
      <c r="F543" s="165"/>
      <c r="G543" s="165"/>
      <c r="H543" s="165"/>
      <c r="I543" s="104"/>
      <c r="J543" s="104"/>
      <c r="K543" s="165"/>
      <c r="L543" s="166"/>
    </row>
  </sheetData>
  <mergeCells count="18">
    <mergeCell ref="N7:O7"/>
    <mergeCell ref="N8:O8"/>
    <mergeCell ref="N9:O9"/>
    <mergeCell ref="R18:R19"/>
    <mergeCell ref="S18:S19"/>
    <mergeCell ref="N18:Q18"/>
    <mergeCell ref="N15:Q15"/>
    <mergeCell ref="N13:O13"/>
    <mergeCell ref="N14:Q14"/>
    <mergeCell ref="A1:L1"/>
    <mergeCell ref="A2:L2"/>
    <mergeCell ref="N1:AF1"/>
    <mergeCell ref="N6:O6"/>
    <mergeCell ref="N5:O5"/>
    <mergeCell ref="N4:O4"/>
    <mergeCell ref="N3:O3"/>
    <mergeCell ref="P2:R2"/>
    <mergeCell ref="S2:AB2"/>
  </mergeCells>
  <conditionalFormatting sqref="C4:C103">
    <cfRule type="expression" priority="6">
      <formula>"IF($A$4:$A$103;""*reuse**;""n/a"")"</formula>
    </cfRule>
  </conditionalFormatting>
  <conditionalFormatting sqref="C104:C191">
    <cfRule type="expression" priority="5">
      <formula>"IF($A$4:$A$103;""*reuse**;""n/a"")"</formula>
    </cfRule>
  </conditionalFormatting>
  <conditionalFormatting sqref="C192:C279">
    <cfRule type="expression" priority="4">
      <formula>"IF($A$4:$A$103;""*reuse**;""n/a"")"</formula>
    </cfRule>
  </conditionalFormatting>
  <conditionalFormatting sqref="C280:C367">
    <cfRule type="expression" priority="3">
      <formula>"IF($A$4:$A$103;""*reuse**;""n/a"")"</formula>
    </cfRule>
  </conditionalFormatting>
  <conditionalFormatting sqref="C368:C455">
    <cfRule type="expression" priority="2">
      <formula>"IF($A$4:$A$103;""*reuse**;""n/a"")"</formula>
    </cfRule>
  </conditionalFormatting>
  <conditionalFormatting sqref="C456:C543">
    <cfRule type="expression" priority="1">
      <formula>"IF($A$4:$A$103;""*reuse**;""n/a"")"</formula>
    </cfRule>
  </conditionalFormatting>
  <dataValidations count="5">
    <dataValidation type="list" errorStyle="information" allowBlank="1" showInputMessage="1" showErrorMessage="1" sqref="B4:B543">
      <formula1>$O$39:$O$58</formula1>
    </dataValidation>
    <dataValidation type="list" allowBlank="1" showInputMessage="1" showErrorMessage="1" sqref="C4:C543">
      <formula1>$R$39:$R$42</formula1>
    </dataValidation>
    <dataValidation type="list" allowBlank="1" showInputMessage="1" showErrorMessage="1" sqref="I4:J543">
      <formula1>$Z$39:$Z$58</formula1>
    </dataValidation>
    <dataValidation type="list" allowBlank="1" showInputMessage="1" showErrorMessage="1" sqref="A4:A543">
      <formula1>$N$39:$N$43</formula1>
    </dataValidation>
    <dataValidation type="list" allowBlank="1" showInputMessage="1" showErrorMessage="1" sqref="D4:D543">
      <formula1>$S$40:$S$89</formula1>
    </dataValidation>
  </dataValidations>
  <pageMargins left="0.7" right="0.7" top="0.75" bottom="0.75" header="0.3" footer="0.3"/>
  <pageSetup paperSize="9" scale="48" orientation="landscape" horizontalDpi="90" verticalDpi="90" r:id="rId1"/>
  <rowBreaks count="1" manualBreakCount="1">
    <brk id="31" max="27" man="1"/>
  </rowBreaks>
  <colBreaks count="1" manualBreakCount="1">
    <brk id="12" max="60"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Q553"/>
  <sheetViews>
    <sheetView tabSelected="1" view="pageBreakPreview" zoomScale="66" zoomScaleNormal="75" zoomScaleSheetLayoutView="66" workbookViewId="0">
      <pane xSplit="3" ySplit="3" topLeftCell="D4" activePane="bottomRight" state="frozen"/>
      <selection pane="topRight" activeCell="C1" sqref="C1"/>
      <selection pane="bottomLeft" activeCell="A4" sqref="A4"/>
      <selection pane="bottomRight" activeCell="T19" sqref="T19"/>
    </sheetView>
  </sheetViews>
  <sheetFormatPr defaultRowHeight="15" x14ac:dyDescent="0.25"/>
  <cols>
    <col min="1" max="1" width="8" customWidth="1"/>
    <col min="2" max="2" width="13.28515625" customWidth="1"/>
    <col min="3" max="3" width="14.85546875" customWidth="1"/>
    <col min="4" max="4" width="10.7109375" customWidth="1"/>
    <col min="5" max="5" width="17.5703125" customWidth="1"/>
    <col min="6" max="6" width="8" customWidth="1"/>
    <col min="7" max="7" width="10.85546875" customWidth="1"/>
    <col min="8" max="8" width="10.140625" customWidth="1"/>
    <col min="9" max="9" width="8.85546875" customWidth="1"/>
    <col min="10" max="10" width="10.140625" customWidth="1"/>
    <col min="11" max="11" width="8.140625" customWidth="1"/>
    <col min="12" max="14" width="7.85546875" customWidth="1"/>
    <col min="15" max="15" width="8.140625" customWidth="1"/>
    <col min="16" max="16" width="16.28515625" customWidth="1"/>
    <col min="17" max="17" width="16.5703125" customWidth="1"/>
    <col min="18" max="18" width="15.28515625" customWidth="1"/>
    <col min="19" max="19" width="15.140625" customWidth="1"/>
    <col min="20" max="20" width="9.42578125" customWidth="1"/>
    <col min="21" max="21" width="13.28515625" customWidth="1"/>
    <col min="22" max="22" width="11.7109375" customWidth="1"/>
    <col min="23" max="23" width="13" customWidth="1"/>
    <col min="24" max="24" width="14.7109375" customWidth="1"/>
    <col min="25" max="25" width="16.7109375" customWidth="1"/>
    <col min="26" max="26" width="15.85546875" customWidth="1"/>
    <col min="27" max="27" width="12" customWidth="1"/>
    <col min="28" max="28" width="13.5703125" customWidth="1"/>
    <col min="30" max="30" width="10.85546875" customWidth="1"/>
    <col min="31" max="31" width="12.28515625" customWidth="1"/>
    <col min="33" max="33" width="11.5703125" customWidth="1"/>
    <col min="37" max="37" width="11.42578125" customWidth="1"/>
  </cols>
  <sheetData>
    <row r="1" spans="1:43" ht="15.75" thickBot="1" x14ac:dyDescent="0.3">
      <c r="A1" s="462" t="s">
        <v>460</v>
      </c>
      <c r="B1" s="462"/>
      <c r="C1" s="462"/>
      <c r="D1" s="462"/>
      <c r="E1" s="462"/>
      <c r="F1" s="462"/>
      <c r="G1" s="462"/>
      <c r="H1" s="462"/>
      <c r="I1" s="462"/>
      <c r="J1" s="462"/>
      <c r="K1" s="462"/>
      <c r="L1" s="462"/>
      <c r="M1" s="462"/>
      <c r="N1" s="462"/>
      <c r="O1" s="462"/>
      <c r="P1" s="462"/>
      <c r="Q1" s="462"/>
      <c r="R1" s="462"/>
      <c r="S1" s="463"/>
      <c r="T1" s="31"/>
      <c r="U1" s="408" t="s">
        <v>461</v>
      </c>
      <c r="V1" s="409"/>
      <c r="W1" s="409"/>
      <c r="X1" s="409"/>
      <c r="Y1" s="409"/>
      <c r="Z1" s="409"/>
      <c r="AA1" s="409"/>
      <c r="AB1" s="409"/>
      <c r="AC1" s="409"/>
      <c r="AD1" s="409"/>
      <c r="AE1" s="409"/>
      <c r="AF1" s="409"/>
      <c r="AG1" s="409"/>
      <c r="AH1" s="409"/>
      <c r="AI1" s="409"/>
      <c r="AJ1" s="409"/>
      <c r="AK1" s="409"/>
      <c r="AL1" s="409"/>
      <c r="AM1" s="410"/>
    </row>
    <row r="2" spans="1:43" ht="15.75" thickBot="1" x14ac:dyDescent="0.3">
      <c r="A2" s="464" t="s">
        <v>249</v>
      </c>
      <c r="B2" s="464"/>
      <c r="C2" s="464"/>
      <c r="D2" s="464"/>
      <c r="E2" s="464"/>
      <c r="F2" s="464"/>
      <c r="G2" s="464"/>
      <c r="H2" s="464"/>
      <c r="I2" s="464"/>
      <c r="J2" s="464"/>
      <c r="K2" s="464"/>
      <c r="L2" s="464"/>
      <c r="M2" s="464"/>
      <c r="N2" s="464"/>
      <c r="O2" s="464"/>
      <c r="P2" s="464"/>
      <c r="Q2" s="464"/>
      <c r="R2" s="464"/>
      <c r="S2" s="465"/>
      <c r="T2" s="26"/>
      <c r="U2" s="42"/>
      <c r="V2" s="1"/>
      <c r="W2" s="422" t="s">
        <v>170</v>
      </c>
      <c r="X2" s="423"/>
      <c r="Y2" s="424"/>
      <c r="Z2" s="422" t="s">
        <v>419</v>
      </c>
      <c r="AA2" s="423"/>
      <c r="AB2" s="423"/>
      <c r="AC2" s="423"/>
      <c r="AD2" s="423"/>
      <c r="AE2" s="423"/>
      <c r="AF2" s="423"/>
      <c r="AG2" s="423"/>
      <c r="AH2" s="423"/>
      <c r="AI2" s="424"/>
      <c r="AJ2" s="1"/>
      <c r="AK2" s="1" t="s">
        <v>412</v>
      </c>
      <c r="AL2" s="1" t="s">
        <v>423</v>
      </c>
      <c r="AM2" s="1" t="s">
        <v>415</v>
      </c>
      <c r="AN2" s="1" t="s">
        <v>416</v>
      </c>
    </row>
    <row r="3" spans="1:43" ht="49.5" customHeight="1" thickBot="1" x14ac:dyDescent="0.3">
      <c r="A3" s="97" t="s">
        <v>398</v>
      </c>
      <c r="B3" s="98" t="s">
        <v>397</v>
      </c>
      <c r="C3" s="98" t="s">
        <v>396</v>
      </c>
      <c r="D3" s="98" t="s">
        <v>246</v>
      </c>
      <c r="E3" s="98" t="s">
        <v>343</v>
      </c>
      <c r="F3" s="98" t="s">
        <v>247</v>
      </c>
      <c r="G3" s="98" t="s">
        <v>407</v>
      </c>
      <c r="H3" s="98" t="s">
        <v>406</v>
      </c>
      <c r="I3" s="98" t="s">
        <v>245</v>
      </c>
      <c r="J3" s="98" t="s">
        <v>421</v>
      </c>
      <c r="K3" s="98" t="s">
        <v>335</v>
      </c>
      <c r="L3" s="98" t="s">
        <v>409</v>
      </c>
      <c r="M3" s="98" t="s">
        <v>408</v>
      </c>
      <c r="N3" s="98" t="s">
        <v>113</v>
      </c>
      <c r="O3" s="98" t="s">
        <v>83</v>
      </c>
      <c r="P3" s="98" t="s">
        <v>410</v>
      </c>
      <c r="Q3" s="99" t="s">
        <v>411</v>
      </c>
      <c r="R3" s="203" t="s">
        <v>413</v>
      </c>
      <c r="S3" s="204" t="s">
        <v>414</v>
      </c>
      <c r="T3" s="1"/>
      <c r="U3" s="151"/>
      <c r="V3" s="152"/>
      <c r="W3" s="167" t="s">
        <v>162</v>
      </c>
      <c r="X3" s="167" t="s">
        <v>276</v>
      </c>
      <c r="Y3" s="62" t="s">
        <v>122</v>
      </c>
      <c r="Z3" s="167" t="s">
        <v>420</v>
      </c>
      <c r="AA3" s="167" t="s">
        <v>99</v>
      </c>
      <c r="AB3" s="167" t="s">
        <v>92</v>
      </c>
      <c r="AC3" s="167" t="s">
        <v>93</v>
      </c>
      <c r="AD3" s="167" t="s">
        <v>289</v>
      </c>
      <c r="AE3" s="167" t="s">
        <v>94</v>
      </c>
      <c r="AF3" s="167" t="s">
        <v>159</v>
      </c>
      <c r="AG3" s="167" t="s">
        <v>103</v>
      </c>
      <c r="AH3" s="167" t="s">
        <v>160</v>
      </c>
      <c r="AI3" s="62" t="s">
        <v>161</v>
      </c>
      <c r="AJ3" s="50"/>
      <c r="AK3" s="50"/>
      <c r="AL3" s="63" t="s">
        <v>417</v>
      </c>
      <c r="AM3" s="62" t="s">
        <v>122</v>
      </c>
      <c r="AN3" s="157" t="s">
        <v>418</v>
      </c>
      <c r="AO3" s="24" t="s">
        <v>122</v>
      </c>
      <c r="AP3" s="150" t="s">
        <v>422</v>
      </c>
      <c r="AQ3" s="150" t="s">
        <v>122</v>
      </c>
    </row>
    <row r="4" spans="1:43" ht="24" x14ac:dyDescent="0.25">
      <c r="A4" s="195" t="s">
        <v>394</v>
      </c>
      <c r="B4" s="174" t="s">
        <v>291</v>
      </c>
      <c r="C4" s="197" t="s">
        <v>255</v>
      </c>
      <c r="D4" s="187" t="s">
        <v>114</v>
      </c>
      <c r="E4" s="187" t="s">
        <v>336</v>
      </c>
      <c r="F4" s="174">
        <f>500*1200</f>
        <v>600000</v>
      </c>
      <c r="G4" s="188">
        <v>7.0000000000000007E-2</v>
      </c>
      <c r="H4" s="305">
        <v>0.13</v>
      </c>
      <c r="I4" s="192">
        <f>F4*G4</f>
        <v>42000.000000000007</v>
      </c>
      <c r="J4" s="192">
        <f>F4*H4</f>
        <v>78000</v>
      </c>
      <c r="K4" s="189">
        <v>0.08</v>
      </c>
      <c r="L4" s="190">
        <f t="shared" ref="L4:L67" si="0">K4*I4</f>
        <v>3360.0000000000005</v>
      </c>
      <c r="M4" s="190">
        <f>K4*J4</f>
        <v>6240</v>
      </c>
      <c r="N4" s="174" t="s">
        <v>106</v>
      </c>
      <c r="O4" s="174" t="s">
        <v>4</v>
      </c>
      <c r="P4" s="202" t="s">
        <v>402</v>
      </c>
      <c r="Q4" s="202" t="s">
        <v>221</v>
      </c>
      <c r="R4" s="308" t="s">
        <v>403</v>
      </c>
      <c r="S4" s="308" t="s">
        <v>403</v>
      </c>
      <c r="T4" s="1"/>
      <c r="U4" s="452" t="s">
        <v>347</v>
      </c>
      <c r="V4" s="453"/>
      <c r="W4" s="225">
        <f t="shared" ref="W4:W9" si="1">SUM(Z4:AI4)</f>
        <v>3659.5</v>
      </c>
      <c r="X4" s="226">
        <f t="shared" ref="X4:X11" si="2">W4/$Y$13</f>
        <v>1.4638</v>
      </c>
      <c r="Y4" s="227">
        <f>W4/$W$12</f>
        <v>4.6162414245699591E-3</v>
      </c>
      <c r="Z4" s="228">
        <f>SUMIFS(I4:I543,O4:O543,"*17 01*",Q4:Q543,"*reuse*")+SUMIFS(J4:J543,O4:O543,"*17 01*",S4:S543,"*reuse*")</f>
        <v>0</v>
      </c>
      <c r="AA4" s="229">
        <f>SUMIFS(I4:I543,O4:O543,"*17 02 01*",Q4:Q543,"*reuse*")+SUMIFS(J4:J543,O4:O543,"*17 02 01*",S4:S543,"*reuse*")</f>
        <v>0</v>
      </c>
      <c r="AB4" s="229">
        <f>SUMIFS(I4:I543,O4:O543,"*17 02 02*",Q4:Q543,"*reuse*")+SUMIFS(J4:J543,O4:O543,"*17 02 02*",S4:S543,"*reuse*")</f>
        <v>0</v>
      </c>
      <c r="AC4" s="229">
        <f>SUMIFS(I4:I543,O4:O543,"*17 02 03*",Q4:Q543,"*reuse*")+SUMIFS(J4:J543,O4:O543,"*17 02 03*",S4:S543,"*reuse*")</f>
        <v>0</v>
      </c>
      <c r="AD4" s="229">
        <f>SUMIFS(I4:I543,O4:O543,"*17 02 04*",Q4:Q543,"*reuse*")+SUMIFS(J4:J543,O4:O543,"*17 02 04*",S4:S543,"*reuse*")</f>
        <v>0</v>
      </c>
      <c r="AE4" s="229">
        <f>SUMIFS(I4:I543,O4:O543,"*17 03*",Q4:Q543,"*reuse*")+SUMIFS(J4:J543,O4:O543,"*17 03*",S4:S543,"*reuse*")</f>
        <v>72</v>
      </c>
      <c r="AF4" s="229">
        <f>SUMIFS(I4:I543,O4:O543,"*17 04*",Q4:Q543,"*reuse*")+SUMIFS(J4:J543,O4:O543,"*17 04*",S4:S543,"*reuse*")</f>
        <v>3500</v>
      </c>
      <c r="AG4" s="229">
        <f>SUMIFS(I4:I543,O4:O543,"*17 06*",Q4:Q543,"*reuse*")+SUMIFS(J4:J543,O4:O543,"*17 06*",S4:S543,"*reuse*")</f>
        <v>0</v>
      </c>
      <c r="AH4" s="229">
        <f>SUMIFS(I4:I543,O4:O543,"*17 08*",Q4:Q543,"*reuse*")+SUMIFS(J4:J543,O4:O543,"*17 08*",S4:S543,"*reuse*")</f>
        <v>0</v>
      </c>
      <c r="AI4" s="230">
        <f>SUMIFS(I4:I543,O4:O543,"*17 09*",Q4:Q543,"*reuse*")+SUMIFS(J4:J543,O4:O543,"*17 09*",S4:S543,"*reuse*")</f>
        <v>87.5</v>
      </c>
      <c r="AJ4" s="1"/>
      <c r="AK4" s="267" t="s">
        <v>78</v>
      </c>
      <c r="AL4" s="271">
        <f>SUMIFS(I4:I543,O4:O543,"*17 01*",P4:P543,"*Reuse*")+SUMIFS(I4:I543,O4:O543,"*17 02*",P4:P543,"*Reuse*")+SUMIFS(I4:I543,O4:O543,"*17 03*",P4:P543,"*Reuse*")+SUMIFS(I4:I543,O4:O543,"*17 04*",P4:P543,"*Reuse*")+SUMIFS(I4:I543,O4:O543,"*17 06*",P4:P543,"*Reuse*")+SUMIFS(I4:I543,O4:O543,"*17 08*",P4:P543,"*Reuse*")+SUMIFS(I4:I543,O4:O543,"*17 09*",P4:P543,"*Reuse*")</f>
        <v>17570</v>
      </c>
      <c r="AM4" s="272">
        <f>AL4/AL9</f>
        <v>3.2217989447095662E-2</v>
      </c>
      <c r="AN4" s="271">
        <f>SUMIFS(J4:J543,O4:O543,"*17 01*",P4:P543,"*Reuse*")+SUMIFS(J4:J543,O4:O543,"*17 02*",P4:P543,"*Reuse*")+SUMIFS(J4:J543,O4:O543,"*17 03*",P4:P543,"*Reuse*")+SUMIFS(J4:J543,O4:O543,"*17 04*",P4:P543,"*Reuse*")+SUMIFS(J4:J543,O4:O543,"*17 06*",P4:P543,"*Reuse*")+SUMIFS(J4:J543,O4:O543,"*17 08*",P4:P543,"*Reuse*")+SUMIFS(J4:J543,O4:O543,"*17 09*",P4:P543,"*Reuse*")</f>
        <v>3587.5</v>
      </c>
      <c r="AO4" s="272">
        <f>AN4/$AN$9</f>
        <v>1.4500984247990073E-2</v>
      </c>
      <c r="AP4" s="16">
        <f>AL4+AN4</f>
        <v>21157.5</v>
      </c>
      <c r="AQ4" s="205">
        <f>AP4/$AP$9</f>
        <v>2.668892688627925E-2</v>
      </c>
    </row>
    <row r="5" spans="1:43" ht="29.45" customHeight="1" x14ac:dyDescent="0.25">
      <c r="A5" s="196" t="s">
        <v>394</v>
      </c>
      <c r="B5" s="174" t="s">
        <v>291</v>
      </c>
      <c r="C5" s="198" t="s">
        <v>328</v>
      </c>
      <c r="D5" s="177" t="s">
        <v>329</v>
      </c>
      <c r="E5" s="177" t="s">
        <v>337</v>
      </c>
      <c r="F5" s="175">
        <f>500*100</f>
        <v>50000</v>
      </c>
      <c r="G5" s="183">
        <v>0.1</v>
      </c>
      <c r="H5" s="180">
        <v>0.02</v>
      </c>
      <c r="I5" s="193">
        <f>F5*G5</f>
        <v>5000</v>
      </c>
      <c r="J5" s="192">
        <f>F5*H5</f>
        <v>1000</v>
      </c>
      <c r="K5" s="171">
        <v>0.5</v>
      </c>
      <c r="L5" s="191">
        <f t="shared" si="0"/>
        <v>2500</v>
      </c>
      <c r="M5" s="190">
        <f>K5*J5</f>
        <v>500</v>
      </c>
      <c r="N5" s="175" t="s">
        <v>252</v>
      </c>
      <c r="O5" s="175" t="s">
        <v>20</v>
      </c>
      <c r="P5" s="201" t="s">
        <v>346</v>
      </c>
      <c r="Q5" s="201" t="s">
        <v>403</v>
      </c>
      <c r="R5" s="309" t="s">
        <v>401</v>
      </c>
      <c r="S5" s="309" t="s">
        <v>401</v>
      </c>
      <c r="T5" s="1"/>
      <c r="U5" s="454" t="s">
        <v>3</v>
      </c>
      <c r="V5" s="455"/>
      <c r="W5" s="231">
        <f t="shared" si="1"/>
        <v>260712.5</v>
      </c>
      <c r="X5" s="232">
        <f t="shared" si="2"/>
        <v>104.285</v>
      </c>
      <c r="Y5" s="233">
        <f>W5/$W$12</f>
        <v>0.32887330028779765</v>
      </c>
      <c r="Z5" s="234">
        <f>SUMIFS(I4:I543,O4:O543,"*17 01*",Q4:Q543,"*recycling*")+SUMIFS(J4:J543,O4:O543,"*17 01*",S4:S543,"*recycling*")</f>
        <v>242700</v>
      </c>
      <c r="AA5" s="235">
        <f>SUMIFS(I4:I543,O4:O543,"*17 02 01*",Q4:Q543,"*recycling*")+SUMIFS(J4:J543,O4:O543,"*17 02 01*",S4:S543,"*recycling*")</f>
        <v>0</v>
      </c>
      <c r="AB5" s="235">
        <f>SUMIFS(I4:I543,O4:O543,"*17 02 02*",Q4:Q543,"*recycling*")+SUMIFS(J4:J543,O4:O543,"*17 02 02*",S4:S543,"*recycling*")</f>
        <v>0</v>
      </c>
      <c r="AC5" s="235">
        <f>SUMIFS(I4:I543,O4:O543,"*17 02 03*",Q4:Q543,"*recycling*")+SUMIFS(J4:J543,O4:O543,"*17 02 03*",S4:S543,"*recycling*")</f>
        <v>0</v>
      </c>
      <c r="AD5" s="235">
        <f>SUMIFS(I4:I543,O4:O543,"*17 02 04*",Q4:Q543,"*recycling*")+SUMIFS(J4:J543,O4:O543,"*17 02 04*",S4:S543,"*recycling*")</f>
        <v>0</v>
      </c>
      <c r="AE5" s="235">
        <f>SUMIFS(I4:I543,O4:O543,"*17 03*",Q4:Q543,"*recycling*")+SUMIFS(J4:J543,O4:O543,"*17 03*",S4:S543,"*recycling*")</f>
        <v>0</v>
      </c>
      <c r="AF5" s="235">
        <f>SUMIFS(I4:I543,O4:O543,"*17 04*",Q4:Q543,"*recycling*")+SUMIFS(J4:J543,O4:O543,"*17 04*",S4:S543,"*recycling*")</f>
        <v>17612.5</v>
      </c>
      <c r="AG5" s="235">
        <f>SUMIFS(I4:I543,O4:O543,"*17 06*",Q4:Q543,"*recycling*")+SUMIFS(J4:J543,O4:O543,"*17 06*",S4:S543,"*recycling*")</f>
        <v>0</v>
      </c>
      <c r="AH5" s="235">
        <f>SUMIFS(I4:I543,O4:O543,"*17 08*",Q4:Q543,"*recycling*")+SUMIFS(J4:J543,O4:O543,"*17 08*",S4:S543,"*recycling*")</f>
        <v>400</v>
      </c>
      <c r="AI5" s="236">
        <f>SUMIFS(I4:I543,O4:O543,"*17 09*",Q4:Q543,"*recycling*")+SUMIFS(J4:J543,O4:O543,"*17 09*",S4:S543,"*recycling*")</f>
        <v>0</v>
      </c>
      <c r="AJ5" s="1"/>
      <c r="AK5" s="268" t="s">
        <v>3</v>
      </c>
      <c r="AL5" s="273">
        <f>SUMIFS(I4:I543,O4:O543,"*17 01*",P4:P543,"*Recycling*")+SUMIFS(I4:I543,O4:O543,"*17 02*",P4:P543,"*Recycling*")+SUMIFS(I4:I543,O4:O543,"*17 03*",P4:P543,"*Recycling*")+SUMIFS(I4:I543,O4:O543,"*17 04*",P4:P543,"*Recycling*")+SUMIFS(I4:I543,O4:O543,"*17 06*",P4:P543,"*Recycling*")+SUMIFS(I4:I543,O4:O543,"*17 08*",P4:P543,"*Recycling*")+SUMIFS(I4:I543,O4:O543,"*17 09*",P4:P543,"*Recycling*")</f>
        <v>524627.5</v>
      </c>
      <c r="AM5" s="274">
        <f>AL5/AL9</f>
        <v>0.96200587698669193</v>
      </c>
      <c r="AN5" s="273">
        <f>SUMIFS(J4:J543,O4:O543,"*17 01*",P4:P543,"*Recycling*")+SUMIFS(J4:J543,O4:O543,"*17 02*",P4:P543,"*Recycling*")+SUMIFS(J4:J543,O4:O543,"*17 03*",P4:P543,"*Recycling*")+SUMIFS(J4:J543,O4:O543,"*17 04*",P4:P543,"*Recycling*")+SUMIFS(J4:J543,O4:O543,"*17 06*",P4:P543,"*Recycling*")+SUMIFS(J4:J543,O4:O543,"*17 08*",P4:P543,"*Recycling*")+SUMIFS(J4:J543,O4:O543,"*17 09*",P4:P543,"*Recycling*")</f>
        <v>243809.5</v>
      </c>
      <c r="AO5" s="274">
        <f t="shared" ref="AO5:AO9" si="3">AN5/$AN$9</f>
        <v>0.98549901575200993</v>
      </c>
      <c r="AP5" s="16">
        <f t="shared" ref="AP5:AP8" si="4">AL5+AN5</f>
        <v>768437</v>
      </c>
      <c r="AQ5" s="205">
        <f t="shared" ref="AQ5:AQ9" si="5">AP5/$AP$9</f>
        <v>0.9693375356120415</v>
      </c>
    </row>
    <row r="6" spans="1:43" ht="45" x14ac:dyDescent="0.25">
      <c r="A6" s="196" t="s">
        <v>394</v>
      </c>
      <c r="B6" s="174" t="s">
        <v>445</v>
      </c>
      <c r="C6" s="198" t="s">
        <v>255</v>
      </c>
      <c r="D6" s="177" t="s">
        <v>330</v>
      </c>
      <c r="E6" s="177" t="s">
        <v>250</v>
      </c>
      <c r="F6" s="175">
        <f>1250*2400</f>
        <v>3000000</v>
      </c>
      <c r="G6" s="183">
        <v>0.15</v>
      </c>
      <c r="H6" s="180">
        <v>0.05</v>
      </c>
      <c r="I6" s="193">
        <f t="shared" ref="I6:I68" si="6">F6*G6</f>
        <v>450000</v>
      </c>
      <c r="J6" s="192">
        <f t="shared" ref="J6:J69" si="7">F6*H6</f>
        <v>150000</v>
      </c>
      <c r="K6" s="171">
        <v>0.08</v>
      </c>
      <c r="L6" s="191">
        <f t="shared" si="0"/>
        <v>36000</v>
      </c>
      <c r="M6" s="190">
        <f t="shared" ref="M6:M69" si="8">K6*J6</f>
        <v>12000</v>
      </c>
      <c r="N6" s="175" t="s">
        <v>106</v>
      </c>
      <c r="O6" s="175" t="s">
        <v>4</v>
      </c>
      <c r="P6" s="201" t="s">
        <v>402</v>
      </c>
      <c r="Q6" s="201" t="s">
        <v>221</v>
      </c>
      <c r="R6" s="309" t="s">
        <v>403</v>
      </c>
      <c r="S6" s="309" t="s">
        <v>403</v>
      </c>
      <c r="T6" s="1"/>
      <c r="U6" s="456" t="s">
        <v>304</v>
      </c>
      <c r="V6" s="457"/>
      <c r="W6" s="237">
        <f t="shared" si="1"/>
        <v>521400</v>
      </c>
      <c r="X6" s="238">
        <f t="shared" si="2"/>
        <v>208.56</v>
      </c>
      <c r="Y6" s="239">
        <f>W6/$W$12</f>
        <v>0.65771506456367723</v>
      </c>
      <c r="Z6" s="240">
        <f>SUMIFS(I$4:I$543,O$4:O$543,"*17 01*",Q$4:Q$543,"*backfill*")+SUMIFS(J$4:J$543,O$4:O$543,"*17 01*",S$4:S$543,"*backfill*")</f>
        <v>521400</v>
      </c>
      <c r="AA6" s="241">
        <f>SUMIFS(I$4:I$543,O$4:O$543,"*17 02 01*",Q$4:Q$543,"*backfill*")+SUMIFS(J$4:J$543,O$4:O$543,"*17 02 01*",S$4:S$543,"*backfill*")</f>
        <v>0</v>
      </c>
      <c r="AB6" s="241">
        <f>SUMIFS($I$4:$I$543,$O$4:$O$543,"*17 02 02*",$Q$4:$Q$543,"*backfill*")+SUMIFS($J$4:$J$543,$O$4:$O$543,"*17 02 02*",$S$4:$S$543,"*backfill*")</f>
        <v>0</v>
      </c>
      <c r="AC6" s="241">
        <f>SUMIFS(I$4:I$543,O$4:O$543,"*17 02 03*",Q$4:Q$543,"*backfill*")+SUMIFS(J$4:J$543,O$4:O$543,"*17 02 03*",S$4:S$543,"*backfill*")</f>
        <v>0</v>
      </c>
      <c r="AD6" s="241">
        <f>SUMIFS(I$4:I$543,O$4:O$543,"*17 02 04*",Q$4:Q$543,"*backfill*")+SUMIFS(J$4:J$543,O$4:O$543,"*17 02 04*",S$4:S$543,"*backfill*")</f>
        <v>0</v>
      </c>
      <c r="AE6" s="241">
        <f>SUMIFS(I$4:I$543,O$4:O$543,"*17 03*",Q$4:Q$543,"*backfill*")+SUMIFS(J$4:J$543,O$4:O$543,"*17 03*",S$4:S$543,"*backfill*")</f>
        <v>0</v>
      </c>
      <c r="AF6" s="241">
        <f>SUMIFS(I$4:I$543,O$4:O$543,"*17 04*",Q$4:Q$543,"*backfill*")+SUMIFS(J$4:J$543,O$4:O$543,"*17 04*",S$4:S$543,"*backfill*")</f>
        <v>0</v>
      </c>
      <c r="AG6" s="241">
        <f>SUMIFS(I$4:I$543,O$4:O$543,"*17 06*",Q$4:Q$543,"*backfill*")+SUMIFS(J$4:J$543,O$4:O$543,"*17 06*",S$4:S$543,"*backfill*")</f>
        <v>0</v>
      </c>
      <c r="AH6" s="241">
        <f>SUMIFS(I$4:I$543,O$4:O$543,"*17 08*",Q$4:Q$543,"*backfill*")+SUMIFS(J$4:J$543,O$4:O$543,"*17 08*",S$4:S$543,"*backfill*")</f>
        <v>0</v>
      </c>
      <c r="AI6" s="242">
        <f>SUMIFS(I$4:I$543,O$4:O$543,"*17 09*",Q$4:Q$543,"*backfill*")+SUMIFS(J$4:J$543,O$4:O$543,"*17 09*",S$4:S$543,"*backfill*")</f>
        <v>0</v>
      </c>
      <c r="AJ6" s="1"/>
      <c r="AK6" s="269" t="s">
        <v>304</v>
      </c>
      <c r="AL6" s="275">
        <f>SUMIFS(I4:I543,O4:O543,"*17 01*",P4:P543,"*Backfill*")+SUMIFS(I4:I543,O4:O543,"*17 02*",P4:P543,"*Backfill*")+SUMIFS(I4:I543,O4:O543,"*17 03*",P4:P543,"*Backfill*")+SUMIFS(I4:I543,O4:O543,"*17 04*",P4:P543,"*Backfill*")+SUMIFS(I4:I543,O4:O543,"*17 06*",P4:P543,"*Backfill*")+SUMIFS(I4:I543,O4:O543,"*17 08*",P4:P543,"*Backfill*")+SUMIFS(I4:I543,O4:O543,"*17 09*",P4:P543,"*Backfill*")</f>
        <v>3150</v>
      </c>
      <c r="AM6" s="276">
        <f>AL6/AL9</f>
        <v>5.7761335662123688E-3</v>
      </c>
      <c r="AN6" s="273">
        <f>SUMIFS(J4:J543,O4:O543,"*17 01*",P4:P543,"*Backfill*")+SUMIFS(J4:J543,O4:O543,"*17 02*",P4:P543,"*Backfill*")+SUMIFS(J4:J543,O4:O543,"*17 03*",P4:P543,"*Backfill*")+SUMIFS(J4:J543,O4:O543,"*17 04*",P4:P543,"*Backfill*")+SUMIFS(J4:J543,O4:O543,"*17 06*",P4:P543,"*Backfill*")+SUMIFS(J4:J543,O4:O543,"*17 08*",P4:P543,"*Backfill*")+SUMIFS(J4:J543,O4:O543,"*17 09*",P4:P543,"*Backfill*")</f>
        <v>0</v>
      </c>
      <c r="AO6" s="274">
        <f t="shared" si="3"/>
        <v>0</v>
      </c>
      <c r="AP6" s="16">
        <f t="shared" si="4"/>
        <v>3150</v>
      </c>
      <c r="AQ6" s="205">
        <f t="shared" si="5"/>
        <v>3.9735375016792928E-3</v>
      </c>
    </row>
    <row r="7" spans="1:43" ht="33.75" x14ac:dyDescent="0.25">
      <c r="A7" s="196" t="s">
        <v>394</v>
      </c>
      <c r="B7" s="174" t="s">
        <v>445</v>
      </c>
      <c r="C7" s="198" t="s">
        <v>328</v>
      </c>
      <c r="D7" s="177" t="s">
        <v>331</v>
      </c>
      <c r="E7" s="177" t="s">
        <v>337</v>
      </c>
      <c r="F7" s="175">
        <f>1250*100</f>
        <v>125000</v>
      </c>
      <c r="G7" s="183">
        <v>0.1</v>
      </c>
      <c r="H7" s="180">
        <v>0.02</v>
      </c>
      <c r="I7" s="193">
        <f t="shared" si="6"/>
        <v>12500</v>
      </c>
      <c r="J7" s="192">
        <f t="shared" si="7"/>
        <v>2500</v>
      </c>
      <c r="K7" s="171">
        <v>0.5</v>
      </c>
      <c r="L7" s="191">
        <f t="shared" si="0"/>
        <v>6250</v>
      </c>
      <c r="M7" s="190">
        <f t="shared" si="8"/>
        <v>1250</v>
      </c>
      <c r="N7" s="175" t="s">
        <v>252</v>
      </c>
      <c r="O7" s="175" t="s">
        <v>20</v>
      </c>
      <c r="P7" s="201" t="s">
        <v>346</v>
      </c>
      <c r="Q7" s="201" t="s">
        <v>403</v>
      </c>
      <c r="R7" s="309" t="s">
        <v>401</v>
      </c>
      <c r="S7" s="309" t="s">
        <v>401</v>
      </c>
      <c r="T7" s="1"/>
      <c r="U7" s="458" t="s">
        <v>305</v>
      </c>
      <c r="V7" s="459"/>
      <c r="W7" s="243">
        <f t="shared" si="1"/>
        <v>1982.5</v>
      </c>
      <c r="X7" s="244">
        <f t="shared" si="2"/>
        <v>0.79300000000000004</v>
      </c>
      <c r="Y7" s="245">
        <f>W7/$W$12</f>
        <v>2.5008057451045072E-3</v>
      </c>
      <c r="Z7" s="246">
        <f>SUMIFS(I$4:I$543,O$4:O$543,"*17 01*",Q$4:Q$543,"*energy*")+SUMIFS(J$4:J$543,O$4:O$543,"*17 01*",S$4:S$543,"*energy*")</f>
        <v>0</v>
      </c>
      <c r="AA7" s="247">
        <f>SUMIFS(I$4:I$543,O$4:O$543,"*17 02 01*",Q$4:Q$543,"*energy*")+SUMIFS(J$4:J$543,O$4:O$543,"*17 02 01*",S$4:S$543,"*energy*")</f>
        <v>1912.5</v>
      </c>
      <c r="AB7" s="247">
        <f>SUMIFS($I$4:$I$543,$O$4:$O$543,"*17 02 02*",$Q$4:$Q$543,"*energy*")+SUMIFS($J$4:$J$543,$O$4:$O$543,"*17 02 02*",$S$4:$S$543,"*energy*")</f>
        <v>0</v>
      </c>
      <c r="AC7" s="247">
        <f>SUMIFS(I$4:I$543,O$4:O$543,"*17 02 03*",Q$4:Q$543,"*energy*")+SUMIFS(J$4:J$543,O$4:O$543,"*17 02 03*",S$4:S$543,"*energy*")</f>
        <v>0</v>
      </c>
      <c r="AD7" s="247">
        <f>SUMIFS(I$4:I$543,O$4:O$543,"*17 02 04*",Q$4:Q$543,"*energy*")+SUMIFS(J$4:J$543,O$4:O$543,"*17 02 04*",S$4:S$543,"*energy*")</f>
        <v>0</v>
      </c>
      <c r="AE7" s="247">
        <f>SUMIFS(I$4:I$543,O$4:O$543,"*17 03*",Q$4:Q$543,"*energy*")+SUMIFS(J$4:J$543,O$4:O$543,"*17 03*",S$4:S$543,"*energy*")</f>
        <v>0</v>
      </c>
      <c r="AF7" s="247">
        <f>SUMIFS(I$4:I$543,O$4:O$543,"*17 04*",Q$4:Q$543,"*energy*")+SUMIFS(J$4:J$543,O$4:O$543,"*17 04*",S$4:S$543,"*energy*")</f>
        <v>0</v>
      </c>
      <c r="AG7" s="247">
        <f>SUMIFS(I$4:I$543,O$4:O$543,"*17 06*",Q$4:Q$543,"*energy*")+SUMIFS(J$4:J$543,O$4:O$543,"*17 06*",S$4:S$543,"*energy*")</f>
        <v>0</v>
      </c>
      <c r="AH7" s="247">
        <f>SUMIFS(I$4:I$543,O$4:O$543,"*17 08*",Q$4:Q$543,"*energy*")+SUMIFS(J$4:J$543,O$4:O$543,"*17 08*",S$4:S$543,"*energy*")</f>
        <v>0</v>
      </c>
      <c r="AI7" s="248">
        <f>SUMIFS(I$4:I$543,O$4:O$543,"*17 09*",Q$4:Q$543,"*energy*")+SUMIFS(J$4:J$543,O$4:O$543,"*17 09*",S$4:S$543,"*energy*")</f>
        <v>70</v>
      </c>
      <c r="AJ7" s="1"/>
      <c r="AK7" s="281" t="s">
        <v>305</v>
      </c>
      <c r="AL7" s="277">
        <f>SUMIFS(I4:I543,O4:O543,"*17 01*",P4:P543,"*Energy*")+SUMIFS(I4:I543,O4:O543,"*17 02*",P4:P543,"*Energy*")+SUMIFS(I4:I543,O4:O543,"*17 03*",P4:P543,"*Energy*")+SUMIFS(I4:I543,O4:O543,"*17 04*",P4:P543,"*Energy*")+SUMIFS(I4:I543,O4:O543,"*17 06*",P4:P543,"*Energy*")+SUMIFS(I4:I543,O4:O543,"*17 08*",P4:P543,"*Energy*")+SUMIFS(I4:I543,O4:O543,"*17 09*",P4:P543,"*Energy*")</f>
        <v>0</v>
      </c>
      <c r="AM7" s="278">
        <f>AL7/AL9</f>
        <v>0</v>
      </c>
      <c r="AN7" s="273">
        <f>SUMIFS(J4:J543,O4:O543,"*17 01*",P4:P543,"*Energy*")+SUMIFS(J4:J543,O4:O543,"*17 02*",P4:P543,"*Energy*")+SUMIFS(J4:J543,O4:O543,"*17 03*",P4:P543,"*Energy*")+SUMIFS(J4:J543,O4:O543,"*17 04*",P4:P543,"*Energy*")+SUMIFS(J4:J543,O4:O543,"*17 06*",P4:P543,"*Energy*")+SUMIFS(J4:J543,O4:O543,"*17 08*",P4:P543,"*Energy*")+SUMIFS(J4:J543,O4:O543,"*17 09*",P4:P543,"*Energy*")</f>
        <v>0</v>
      </c>
      <c r="AO7" s="274">
        <f t="shared" si="3"/>
        <v>0</v>
      </c>
      <c r="AP7" s="16">
        <f t="shared" si="4"/>
        <v>0</v>
      </c>
      <c r="AQ7" s="205">
        <f t="shared" si="5"/>
        <v>0</v>
      </c>
    </row>
    <row r="8" spans="1:43" ht="36.75" thickBot="1" x14ac:dyDescent="0.3">
      <c r="A8" s="196" t="s">
        <v>394</v>
      </c>
      <c r="B8" s="174" t="s">
        <v>290</v>
      </c>
      <c r="C8" s="198" t="s">
        <v>89</v>
      </c>
      <c r="D8" s="177" t="s">
        <v>332</v>
      </c>
      <c r="E8" s="177" t="s">
        <v>338</v>
      </c>
      <c r="F8" s="175">
        <f>1400*60*3.5</f>
        <v>294000</v>
      </c>
      <c r="G8" s="183">
        <v>0.1</v>
      </c>
      <c r="H8" s="180">
        <v>0.05</v>
      </c>
      <c r="I8" s="193">
        <f t="shared" si="6"/>
        <v>29400</v>
      </c>
      <c r="J8" s="192">
        <f t="shared" si="7"/>
        <v>14700</v>
      </c>
      <c r="K8" s="171">
        <v>0.4</v>
      </c>
      <c r="L8" s="191">
        <f t="shared" si="0"/>
        <v>11760</v>
      </c>
      <c r="M8" s="190">
        <f t="shared" si="8"/>
        <v>5880</v>
      </c>
      <c r="N8" s="175" t="s">
        <v>106</v>
      </c>
      <c r="O8" s="175" t="s">
        <v>5</v>
      </c>
      <c r="P8" s="201" t="s">
        <v>402</v>
      </c>
      <c r="Q8" s="201" t="s">
        <v>222</v>
      </c>
      <c r="R8" s="309" t="s">
        <v>401</v>
      </c>
      <c r="S8" s="309" t="s">
        <v>403</v>
      </c>
      <c r="T8" s="1"/>
      <c r="U8" s="460" t="s">
        <v>157</v>
      </c>
      <c r="V8" s="461"/>
      <c r="W8" s="249">
        <f t="shared" si="1"/>
        <v>4990</v>
      </c>
      <c r="X8" s="250">
        <f t="shared" si="2"/>
        <v>1.996</v>
      </c>
      <c r="Y8" s="251">
        <f>W8/$W$12</f>
        <v>6.2945879788506888E-3</v>
      </c>
      <c r="Z8" s="252">
        <f>SUMIFS(I4:I543,O4:O543,"*17 01*",Q4:Q543,"*incineration*")+SUMIFS(I4:I543,O4:O543,"*17 01*",Q4:Q543,"*landfill*")+SUMIFS(J4:J543,O4:O543,"*17 01*",S4:S543,"*incineration*")+SUMIFS(J4:J543,O4:O543,"*17 01*",S4:S543,"*landfill*")</f>
        <v>0</v>
      </c>
      <c r="AA8" s="253">
        <f>SUMIFS(I4:I543,O4:O543,"*17 02 01*",Q4:Q543,"*incineration*")+SUMIFS(I4:I543,O4:O543,"*17 02 01*",Q4:Q543,"*landfill*")+SUMIFS(J4:J543,O4:O543,"*17 02 01*",S4:S543,"*incineration*")+SUMIFS(J4:J543,O4:O543,"*17 02 01*",S4:S543,"*landfill*")</f>
        <v>0</v>
      </c>
      <c r="AB8" s="253">
        <f>SUMIFS(I4:I543,O4:O543,"*17 02 02*",Q4:Q543,"*incineration*")+SUMIFS(I4:I543,O4:O543,"*17 02 02*",Q4:Q543,"*landfill*")+SUMIFS(J4:J543,O4:O543,"*17 02 02*",S4:S543,"*incineration*")+SUMIFS(J4:J543,O4:O543,"*17 02 02*",S4:S543,"*landfill*")</f>
        <v>3150</v>
      </c>
      <c r="AC8" s="253">
        <f>SUMIFS(I4:I543,O4:O543,"*17 02 03*",Q4:Q543,"*incineration*")+SUMIFS(I4:I543,O4:O543,"*17 02 03*",Q4:Q543,"*landfill*")+SUMIFS(J4:J543,O4:O543,"*17 02 03*",S4:S543,"*incineration*")+SUMIFS(J4:J543,O4:O543,"*17 02 03*",S4:S543,"*landfill*")</f>
        <v>0</v>
      </c>
      <c r="AD8" s="253">
        <f>SUMIFS(I4:I543,O4:O543,"*17 02 04*",Q4:Q543,"*incineration*")+SUMIFS(I4:I543,O4:O543,"*17 02 04*",Q4:Q543,"*landfill*")+SUMIFS(J4:J543,O4:O543,"*17 02 04*",S4:S543,"*incineration*")+SUMIFS(J4:J543,O4:O543,"*17 02 04*",S4:S543,"*landfill*")</f>
        <v>0</v>
      </c>
      <c r="AE8" s="253">
        <f>SUMIFS(I4:I543,O4:O543,"*17 03*",Q4:Q543,"*incineration*")+SUMIFS(I4:I543,O4:O543,"*17 03*",Q4:Q543,"*landfill*")+SUMIFS(J4:J543,O4:O543,"*17 03*",S4:S543,"*incineration*")+SUMIFS(J4:J543,O4:O543,"*17 03*",S4:S543,"*landfill*")</f>
        <v>240</v>
      </c>
      <c r="AF8" s="253">
        <f>SUMIFS(I4:I543,O4:O543,"*17 04*",Q4:Q543,"*incineration*")+SUMIFS(I4:I543,O4:O543,"*17 04*",Q4:Q543,"*landfill*")+SUMIFS(J4:J543,O4:O543,"*17 04*",S4:S543,"*incineration*")+SUMIFS(J4:J543,O4:O543,"*17 04*",S4:S543,"*landfill*")</f>
        <v>0</v>
      </c>
      <c r="AG8" s="253">
        <f>SUMIFS(I4:I543,O4:O543,"*17 06*",Q4:Q543,"*incineration*")+SUMIFS(I4:I543,O4:O543,"*17 06*",Q4:Q543,"*landfill*")+SUMIFS(J4:J543,O4:O543,"*17 06*",S4:S543,"*incineration*")+SUMIFS(J4:J543,O4:O543,"*17 06*",S4:S543,"*landfill*")</f>
        <v>0</v>
      </c>
      <c r="AH8" s="253">
        <f>SUMIFS(I4:I543,O4:O543,"*17 08*",Q4:Q543,"*incineration*")+SUMIFS(I4:I543,O4:O543,"*17 08*",Q4:Q543,"*landfill*")+SUMIFS(J4:J543,O4:O543,"*17 08*",S4:S543,"*incineration*")+SUMIFS(J4:J543,O4:O543,"*17 08*",S4:S543,"*landfill*")</f>
        <v>1600</v>
      </c>
      <c r="AI8" s="254">
        <f>SUMIFS(I4:I543,O4:O543,"*17 09*",Q4:Q543,"*incineration*")+SUMIFS(I4:I543,O4:O543,"*17 09*",Q4:Q543,"*landfill*")+SUMIFS(J4:J543,O4:O543,"*17 09*",S4:S543,"*incineration*")+SUMIFS(J4:J543,O4:O543,"*17 09*",S4:S543,"*landfill*")</f>
        <v>0</v>
      </c>
      <c r="AJ8" s="1"/>
      <c r="AK8" s="270" t="s">
        <v>157</v>
      </c>
      <c r="AL8" s="279">
        <f>SUMIFS(I4:I543,O4:O543,"*17 01*",P4:P543,"*landfill*")+SUMIFS(I4:I543,O4:O543,"*17 02*",P4:P543,"*landfill*")+SUMIFS(I4:I543,O4:O543,"*17 03*",P4:P543,"*landfill*")+SUMIFS(I4:I543,O4:O543,"*17 04*",P4:P543,"*landfill*")+SUMIFS(I4:I543,O4:O543,"*17 06*",P4:P543,"*landfill*")+SUMIFS(I4:I543,O4:O543,"*17 08*",P4:P543,"*landfill*")+SUMIFS(I4:I543,O4:O543,"*17 09*",P4:P543,"*landfill*")+SUMIFS(I4:I543,O4:O543,"*17 01*",P4:P543,"*incineration*")+SUMIFS(I4:I543,O4:O543,"*17 02*",P4:P543,"*incineration*")+SUMIFS(I4:I543,O4:O543,"*17 03*",P4:P543,"*incineration*")+SUMIFS(I4:I543,O4:O543,"*17 04*",P4:P543,"*incineration*")+SUMIFS(I4:I543,O4:O543,"*17 06*",P4:P543,"*incineration*")+SUMIFS(I4:I543,O4:O543,"*17 08*",P4:P543,"*incineration*")+SUMIFS(I4:I543,O4:O543,"*17 09*",P4:P543,"*incineration*")</f>
        <v>0</v>
      </c>
      <c r="AM8" s="280">
        <f>AL8/AL9</f>
        <v>0</v>
      </c>
      <c r="AN8" s="279">
        <f>SUMIFS(J4:J543,O4:O543,"*17 01*",P4:P543,"*landfill*")+SUMIFS(J4:J543,O4:O543,"*17 02*",P4:P543,"*landfill*")+SUMIFS(J4:J543,O4:O543,"*17 03*",P4:P543,"*landfill*")+SUMIFS(J4:J543,O4:O543,"*17 04*",P4:P543,"*landfill*")+SUMIFS(J4:J543,O4:O543,"*17 06*",P4:P543,"*landfill*")+SUMIFS(J4:J543,O4:O543,"*17 08*",P4:P543,"*landfill*")+SUMIFS(J4:J543,O4:O543,"*17 09*",P4:P543,"*landfill*")+SUMIFS(J4:J543,O4:O543,"*17 01*",P4:P543,"*incineration*")+SUMIFS(J4:J543,O4:O543,"*17 02*",P4:P543,"*incineration*")+SUMIFS(J4:J543,O4:O543,"*17 03*",P4:P543,"*incineration*")+SUMIFS(J4:J543,O4:O543,"*17 04*",P4:P543,"*incineration*")+SUMIFS(J4:J543,O4:O543,"*17 06*",P4:P543,"*incineration*")+SUMIFS(J4:J543,O4:O543,"*17 08*",P4:P543,"*incineration*")+SUMIFS(J4:J543,O4:O543,"*17 09*",P4:P543,"*incineration*")</f>
        <v>0</v>
      </c>
      <c r="AO8" s="280">
        <f t="shared" si="3"/>
        <v>0</v>
      </c>
      <c r="AP8" s="16">
        <f t="shared" si="4"/>
        <v>0</v>
      </c>
      <c r="AQ8" s="205">
        <f t="shared" si="5"/>
        <v>0</v>
      </c>
    </row>
    <row r="9" spans="1:43" ht="24.75" thickBot="1" x14ac:dyDescent="0.3">
      <c r="A9" s="196" t="s">
        <v>394</v>
      </c>
      <c r="B9" s="174" t="s">
        <v>290</v>
      </c>
      <c r="C9" s="198" t="s">
        <v>92</v>
      </c>
      <c r="D9" s="177" t="s">
        <v>253</v>
      </c>
      <c r="E9" s="177" t="s">
        <v>339</v>
      </c>
      <c r="F9" s="175">
        <f>700*3000*0.03</f>
        <v>63000</v>
      </c>
      <c r="G9" s="183">
        <v>0.05</v>
      </c>
      <c r="H9" s="180">
        <v>0</v>
      </c>
      <c r="I9" s="193">
        <f t="shared" si="6"/>
        <v>3150</v>
      </c>
      <c r="J9" s="192">
        <f t="shared" si="7"/>
        <v>0</v>
      </c>
      <c r="K9" s="171">
        <v>0.9</v>
      </c>
      <c r="L9" s="191">
        <f t="shared" si="0"/>
        <v>2835</v>
      </c>
      <c r="M9" s="190">
        <f t="shared" si="8"/>
        <v>0</v>
      </c>
      <c r="N9" s="175" t="s">
        <v>106</v>
      </c>
      <c r="O9" s="175" t="s">
        <v>11</v>
      </c>
      <c r="P9" s="201" t="s">
        <v>221</v>
      </c>
      <c r="Q9" s="201" t="s">
        <v>107</v>
      </c>
      <c r="R9" s="309" t="s">
        <v>401</v>
      </c>
      <c r="S9" s="309" t="s">
        <v>222</v>
      </c>
      <c r="T9" s="1"/>
      <c r="U9" s="221" t="s">
        <v>277</v>
      </c>
      <c r="V9" s="222" t="s">
        <v>106</v>
      </c>
      <c r="W9" s="255">
        <f t="shared" si="1"/>
        <v>3150</v>
      </c>
      <c r="X9" s="256">
        <f t="shared" si="2"/>
        <v>1.26</v>
      </c>
      <c r="Y9" s="257"/>
      <c r="Z9" s="258">
        <f>SUMIFS(I4:I543,O4:O543,"*17 01*",Q4:Q543,"*incineration*",N4:N543,"inert")+SUMIFS(I4:I543,O4:O543,"*17 01*",Q4:Q543,"*landfill*",N4:N543,"inert")+SUMIFS(J4:J543,O4:O543,"*17 01*",S4:S543,"*incineration*",N4:N543,"inert")+SUMIFS(J4:J543,O4:O543,"*17 01*",S4:S543,"*landfill*",N4:N543,"inert")</f>
        <v>0</v>
      </c>
      <c r="AA9" s="255">
        <f>SUMIFS(I4:I543,O4:O543,"*17 02 01*",Q4:Q543,"*incineration*",N4:N543,"*inert*")+SUMIFS(I4:I543,O4:O543,"*17 02 01*",Q4:Q543,"*landfill*",N4:N543,"*inert*")+SUMIFS(J4:J543,O4:O543,"*17 02 01*",S4:S543,"*incineration*",N4:N543,"*inert*")+SUMIFS(J4:J543,O4:O543,"*17 02 01*",S4:S543,"*landfill*",N4:N543,"*inert*")</f>
        <v>0</v>
      </c>
      <c r="AB9" s="255">
        <f>SUMIFS(I4:I543,O4:O543,"*17 02 02*",Q4:Q543,"*incineration*",N4:N543,"*inert*")+SUMIFS(I4:I543,O4:O543,"*17 02 02*",Q4:Q543,"*landfill*",N4:N543,"*inert*")+SUMIFS(J4:J543,O4:O543,"*17 02 02*",S4:S543,"*incineration*",N4:N543,"*inert*")+SUMIFS(J4:J543,O4:O543,"*17 02 02*",S4:S543,"*landfill*",N4:N543,"*inert*")</f>
        <v>3150</v>
      </c>
      <c r="AC9" s="255">
        <f>SUMIFS(I4:I543,O4:O543,"*17 02 03*",Q4:Q543,"*incineration*",N4:N543,"*inert*")+SUMIFS(I4:I543,O4:O543,"*17 02 03*",Q4:Q543,"*landfill*",N4:N543,"*inert*")+SUMIFS(J4:J543,O4:O543,"*17 02 03*",S4:S543,"*incineration*",N4:N543,"*inert*")+SUMIFS(J4:J543,O4:O543,"*17 02 03*",S4:S543,"*landfill*",N4:N543,"*inert*")</f>
        <v>0</v>
      </c>
      <c r="AD9" s="255">
        <f>SUMIFS(I4:I543,O4:O543,"*17 02 04*",Q4:Q543,"*incineration*",N4:N543,"*inert*")+SUMIFS(I4:I543,O4:O543,"*17 02 04*",Q4:Q543,"*landfill*",N4:N543,"*inert*")+SUMIFS(J4:J543,O4:O543,"*17 02 04*",S4:S543,"*incineration*",N4:N543,"*inert*")+SUMIFS(J4:J543,O4:O543,"*17 02 04*",S4:S543,"*landfill*",N4:N543,"*inert*")</f>
        <v>0</v>
      </c>
      <c r="AE9" s="255">
        <f>SUMIFS(I4:I543,O4:O543,"*17 03*",Q4:Q543,"*incineration*",N4:N543,"*inert*")+SUMIFS(I4:I543,O4:O543,"*17 03*",Q4:Q543,"*landfill*",N4:N543,"*inert*")+SUMIFS(J4:J543,O4:O543,"*17 03*",S4:S543,"*incineration*",N4:N543,"*inert*")+SUMIFS(J4:J543,O4:O543,"*17 03*",S4:S543,"*landfill*",N4:N543,"*inert*")</f>
        <v>0</v>
      </c>
      <c r="AF9" s="255">
        <f>SUMIFS(I4:I543,O4:O543,"*17 04*",Q4:Q543,"*incineration*",N4:N543,"*inert*")+SUMIFS(I4:I543,O4:O543,"*17 04*",Q4:Q543,"*landfill*",N4:N543,"*inert*")+SUMIFS(J4:J543,O4:O543,"*17 04*",S4:S543,"*incineration*",N4:N543,"*inert*")+SUMIFS(J4:J543,O4:O543,"*17 04*",S4:S543,"*landfill*",N4:N543,"*inert*")</f>
        <v>0</v>
      </c>
      <c r="AG9" s="255">
        <f>SUMIFS(I4:I543,O4:O543,"*17 06*",Q4:Q543,"*incineration*",N4:N543,"*inert*")+SUMIFS(I4:I543,O4:O543,"*17 06*",Q4:Q543,"*landfill*",N4:N543,"*inert*")+SUMIFS(J4:J543,O4:O543,"*17 06*",S4:S543,"*incineration*",N4:N543,"*inert*")+SUMIFS(J4:J543,O4:O543,"*17 06*",S4:S543,"*landfill*",N4:N543,"*inert*")</f>
        <v>0</v>
      </c>
      <c r="AH9" s="255">
        <f>SUMIFS(I4:I543,O4:O543,"*17 08*",Q4:Q543,"*incineration*",N4:N543,"*inert*")+SUMIFS(I4:I543,O4:O543,"*17 08*",Q4:Q543,"*landfill*",N4:N543,"*inert*")+SUMIFS(J4:J543,O4:O543,"*17 08*",S4:S543,"*incineration*",N4:N543,"*inert*")+SUMIFS(J4:J543,O4:O543,"*17 08*",S4:S543,"*landfill*",N4:N543,"*inert*")</f>
        <v>0</v>
      </c>
      <c r="AI9" s="257">
        <f>SUMIFS(I4:I543,O4:O543,"*17 09*",Q4:Q543,"*incineration*",N4:N543,"*inert*")+SUMIFS(I4:I543,O4:O543,"*17 09*",Q4:Q543,"*landfill*",N4:N543,"*inert*")+SUMIFS(J4:J543,O4:O543,"*17 09*",S4:S543,"*incineration*",N4:N543,"*inert*")+SUMIFS(J4:J543,O4:O543,"*17 09*",S4:S543,"*landfill*",N4:N543,"*inert*")</f>
        <v>0</v>
      </c>
      <c r="AK9" s="130" t="s">
        <v>165</v>
      </c>
      <c r="AL9" s="130">
        <f>SUM(AL4:AL8)</f>
        <v>545347.5</v>
      </c>
      <c r="AM9" s="265">
        <f>AL9/AL9</f>
        <v>1</v>
      </c>
      <c r="AN9" s="130">
        <f>SUM(AN4:AN8)</f>
        <v>247397</v>
      </c>
      <c r="AO9" s="265">
        <f t="shared" si="3"/>
        <v>1</v>
      </c>
      <c r="AP9" s="16">
        <f>SUM(AP4:AP8)</f>
        <v>792744.5</v>
      </c>
      <c r="AQ9" s="205">
        <f t="shared" si="5"/>
        <v>1</v>
      </c>
    </row>
    <row r="10" spans="1:43" ht="33.75" x14ac:dyDescent="0.25">
      <c r="A10" s="196" t="s">
        <v>394</v>
      </c>
      <c r="B10" s="174" t="s">
        <v>290</v>
      </c>
      <c r="C10" s="198" t="s">
        <v>333</v>
      </c>
      <c r="D10" s="177" t="s">
        <v>334</v>
      </c>
      <c r="E10" s="177" t="s">
        <v>340</v>
      </c>
      <c r="F10" s="175">
        <f>300*2.5</f>
        <v>750</v>
      </c>
      <c r="G10" s="183">
        <v>0.15</v>
      </c>
      <c r="H10" s="180">
        <v>0</v>
      </c>
      <c r="I10" s="193">
        <f t="shared" si="6"/>
        <v>112.5</v>
      </c>
      <c r="J10" s="192">
        <f t="shared" si="7"/>
        <v>0</v>
      </c>
      <c r="K10" s="171">
        <v>2.1</v>
      </c>
      <c r="L10" s="191">
        <f t="shared" si="0"/>
        <v>236.25</v>
      </c>
      <c r="M10" s="190">
        <f t="shared" si="8"/>
        <v>0</v>
      </c>
      <c r="N10" s="175" t="s">
        <v>252</v>
      </c>
      <c r="O10" s="175" t="s">
        <v>17</v>
      </c>
      <c r="P10" s="201" t="s">
        <v>403</v>
      </c>
      <c r="Q10" s="201" t="s">
        <v>403</v>
      </c>
      <c r="R10" s="309" t="s">
        <v>401</v>
      </c>
      <c r="S10" s="309" t="s">
        <v>401</v>
      </c>
      <c r="T10" s="1"/>
      <c r="U10" s="221"/>
      <c r="V10" s="222" t="s">
        <v>252</v>
      </c>
      <c r="W10" s="255">
        <f>+SUM(Z10:AI10)</f>
        <v>1840</v>
      </c>
      <c r="X10" s="256">
        <f t="shared" si="2"/>
        <v>0.73599999999999999</v>
      </c>
      <c r="Y10" s="257"/>
      <c r="Z10" s="258">
        <f>SUMIFS(I4:I543,O4:O543,"*17 01*",Q4:Q543,"*incineration*",N4:N543,"*non-haz*")+SUMIFS(I4:I543,O4:O543,"*17 01*",Q4:Q543,"*landfill*",N4:N543,"*non-haz*")+SUMIFS(J4:J543,O4:O543,"*17 01*",S4:S543,"*incineration*",N4:N543,"*non-haz*")+SUMIFS(J4:J543,O4:O543,"*17 01*",S4:S543,"*landfill*",N4:N543,"*non-haz*")</f>
        <v>0</v>
      </c>
      <c r="AA10" s="255">
        <f>SUMIFS(I4:I543,O4:O543,"*17 02 01*",Q4:Q543,"*incineration*",N4:N543,"*non-haz*")+SUMIFS(I4:I543,O4:O543,"*17 02 01*",Q4:Q543,"*landfill*",N4:N543,"*non-haz*")+SUMIFS(J4:J543,O4:O543,"*17 02 01*",S4:S543,"*incineration*",N4:N543,"*non-haz*")+SUMIFS(J4:J543,O4:O543,"*17 02 01*",S4:S543,"*landfill*",N4:N543,"*non-haz*")</f>
        <v>0</v>
      </c>
      <c r="AB10" s="255">
        <f>SUMIFS(I4:I543,O4:O543,"*17 02 02*",Q4:Q543,"*incineration*",N4:N543,"*non-haz*")+SUMIFS(I4:I543,O4:O543,"*17 02 02*",Q4:Q543,"*landfill*",N4:N543,"*non-haz*")+SUMIFS(J4:J543,O4:O543,"*17 02 02*",S4:S543,"*incineration*",N4:N543,"*non-haz*")+SUMIFS(J4:J543,O4:O543,"*17 02 02*",S4:S543,"*landfill*",N4:N543,"*non-haz*")</f>
        <v>0</v>
      </c>
      <c r="AC10" s="255">
        <f>SUMIFS(I4:I543,O4:O543,"*17 02 03*",Q4:Q543,"*incineration*",N4:N543,"*non-haz*")+SUMIFS(I4:I543,O4:O543,"*17 02 03*",Q4:Q543,"*landfill*",N4:N543,"*non-haz*")+SUMIFS(J4:J543,O4:O543,"*17 02 03*",S4:S543,"*incineration*",N4:N543,"*non-haz*")+SUMIFS(J4:J543,O4:O543,"*17 02 03*",S4:S543,"*landfill*",N4:N543,"*non-haz*")</f>
        <v>0</v>
      </c>
      <c r="AD10" s="255">
        <f>SUMIFS(I4:I543,O4:O543,"*17 02 04*",Q4:Q543,"*incineration*",N4:N543,"*non-haz*")+SUMIFS(I4:I543,O4:O543,"*17 02 04*",Q4:Q543,"*landfill*",N4:N543,"*non-haz*")+SUMIFS(J4:J543,O4:O543,"*17 02 04*",S4:S543,"*incineration*",N4:N543,"*non-haz*")+SUMIFS(J4:J543,O4:O543,"*17 02 04*",S4:S543,"*landfill*",N4:N543,"*non-haz*")</f>
        <v>0</v>
      </c>
      <c r="AE10" s="255">
        <f>SUMIFS(I4:I543,O4:O543,"*17 03*",Q4:Q543,"*incineration*",N4:N543,"*non-haz*")+SUMIFS(I4:I543,O4:O543,"*17 03*",Q4:Q543,"*landfill*",N4:N543,"*non-haz*")+SUMIFS(J4:J543,O4:O543,"*17 03*",S4:S543,"*incineration*",N4:N543,"*non-haz*")+SUMIFS(J4:J543,O4:O543,"*17 03*",S4:S543,"*landfill*",N4:N543,"*non-haz*")</f>
        <v>240</v>
      </c>
      <c r="AF10" s="255">
        <f>SUMIFS(I4:I543,O4:O543,"*17 04*",Q4:Q543,"*incineration*",N4:N543,"*non-haz*")+SUMIFS(I4:I543,O4:O543,"*17 04*",Q4:Q543,"*landfill*",N4:N543,"*non-haz*")+SUMIFS(J4:J543,O4:O543,"*17 04*",S4:S543,"*incineration*",N4:N543,"*non-haz*")+SUMIFS(J4:J543,O4:O543,"*17 04*",S4:S543,"*landfill*",N4:N543,"*non-haz*")</f>
        <v>0</v>
      </c>
      <c r="AG10" s="255">
        <f>SUMIFS(I4:I543,O4:O543,"*17 06*",Q4:Q543,"*incineration*",N4:N543,"*non-haz*")+SUMIFS(I4:I543,O4:O543,"*17 06*",Q4:Q543,"*landfill*",N4:N543,"*non-haz*")+SUMIFS(J4:J543,O4:O543,"*17 06*",S4:S543,"*incineration*",N4:N543,"*non-haz*")+SUMIFS(J4:J543,O4:O543,"*17 06*",S4:S543,"*landfill*",N4:N543,"*non-haz*")</f>
        <v>0</v>
      </c>
      <c r="AH10" s="255">
        <f>SUMIFS(I4:I543,O4:O543,"*17 08*",Q4:Q543,"*incineration*",N4:N543,"*non-haz*")+SUMIFS(I4:I543,O4:O543,"*17 08*",Q4:Q543,"*landfill*",N4:N543,"*non-haz*")+SUMIFS(J4:J543,O4:O543,"*17 08*",S4:S543,"*incineration*",N4:N543,"*non-haz*")+SUMIFS(J4:J543,O4:O543,"*17 08*",S4:S543,"*landfill*",N4:N543,"*non-haz*")</f>
        <v>1600</v>
      </c>
      <c r="AI10" s="257">
        <f>SUMIFS(I4:I543,O4:O543,"*17 09*",Q4:Q543,"*incineration*",N4:N543,"*non-haz*")+SUMIFS(I4:I543,O4:O543,"*17 09*",Q4:Q543,"*landfill*",N4:N543,"*non-haz*")+SUMIFS(J4:J543,O4:O543,"*17 09*",S4:S543,"*incineration*",N4:N543,"*non-haz*")+SUMIFS(J4:J543,O4:O543,"*17 09*",S4:S543,"*landfill*",N4:N543,"*non-haz*")</f>
        <v>0</v>
      </c>
      <c r="AM10" s="27"/>
    </row>
    <row r="11" spans="1:43" ht="34.5" thickBot="1" x14ac:dyDescent="0.3">
      <c r="A11" s="196" t="s">
        <v>394</v>
      </c>
      <c r="B11" s="174" t="s">
        <v>447</v>
      </c>
      <c r="C11" s="199" t="s">
        <v>256</v>
      </c>
      <c r="D11" s="178" t="s">
        <v>254</v>
      </c>
      <c r="E11" s="178" t="s">
        <v>341</v>
      </c>
      <c r="F11" s="176">
        <f>200*12</f>
        <v>2400</v>
      </c>
      <c r="G11" s="184">
        <v>0.1</v>
      </c>
      <c r="H11" s="181">
        <v>0.03</v>
      </c>
      <c r="I11" s="193">
        <f t="shared" si="6"/>
        <v>240</v>
      </c>
      <c r="J11" s="192">
        <f t="shared" si="7"/>
        <v>72</v>
      </c>
      <c r="K11" s="172">
        <f>30/12</f>
        <v>2.5</v>
      </c>
      <c r="L11" s="191">
        <f t="shared" si="0"/>
        <v>600</v>
      </c>
      <c r="M11" s="190">
        <f t="shared" si="8"/>
        <v>180</v>
      </c>
      <c r="N11" s="176" t="s">
        <v>252</v>
      </c>
      <c r="O11" s="176" t="s">
        <v>14</v>
      </c>
      <c r="P11" s="201" t="s">
        <v>403</v>
      </c>
      <c r="Q11" s="201" t="s">
        <v>108</v>
      </c>
      <c r="R11" s="309" t="s">
        <v>401</v>
      </c>
      <c r="S11" s="309" t="s">
        <v>401</v>
      </c>
      <c r="T11" s="1"/>
      <c r="U11" s="223"/>
      <c r="V11" s="224" t="s">
        <v>0</v>
      </c>
      <c r="W11" s="259">
        <f>+SUM(Z11:AI11)</f>
        <v>0</v>
      </c>
      <c r="X11" s="260">
        <f t="shared" si="2"/>
        <v>0</v>
      </c>
      <c r="Y11" s="261"/>
      <c r="Z11" s="262">
        <f>SUMIFS(I4:I543,O4:O543,"*17 01*",Q4:Q543,"*incineration*",N4:N543,"hazardous")+SUMIFS(I4:I543,O4:O543,"*17 01*",Q4:Q543,"*landfill*",N4:N543,"hazardous")+SUMIFS(J4:J543,O4:O543,"*17 01*",S4:S543,"*incineration*",N4:N543,"hazardous")+SUMIFS(J4:J543,O4:O543,"*17 01*",S4:S543,"*landfill*",N4:N543,"hazardous")</f>
        <v>0</v>
      </c>
      <c r="AA11" s="259">
        <f>SUMIFS(I4:I543,O4:O543,"*17 02 01*",Q4:Q543,"*incineration*",N4:N543,"hazardous")+SUMIFS(I4:I543,O4:O543,"*17 02 01*",Q4:Q543,"*landfill*",N4:N543,"hazardous")+SUMIFS(J4:J543,O4:O543,"*17 02 01*",S4:S543,"*incineration*",N4:N543,"hazardous")+SUMIFS(J4:J543,O4:O543,"*17 02 01*",S4:S543,"*landfill*",N4:N543,"hazardous")</f>
        <v>0</v>
      </c>
      <c r="AB11" s="259">
        <f>SUMIFS(I4:I543,O4:O543,"*17 02 02*",Q4:Q543,"*incineration*",N4:N543,"hazardous")+SUMIFS(I4:I543,O4:O543,"*17 02 02*",Q4:Q543,"*landfill*",N4:N543,"hazardous")+SUMIFS(J4:J543,O4:O543,"*17 02 02*",S4:S543,"*incineration*",N4:N543,"hazardous")+SUMIFS(J4:J543,O4:O543,"*17 02 02*",S4:S543,"*landfill*",N4:N543,"hazardous")</f>
        <v>0</v>
      </c>
      <c r="AC11" s="259">
        <f>SUMIFS(I4:I543,O4:O543,"*17 02 03*",Q4:Q543,"*incineration*",N4:N543,"hazardous")+SUMIFS(I4:I543,O4:O543,"*17 02 03*",Q4:Q543,"*landfill*",N4:N543,"*hazardous")+SUMIFS(J4:J543,O4:O543,"*17 02 03*",S4:S543,"*incineration*",N4:N543,"hazardous")+SUMIFS(J4:J543,O4:O543,"*17 02 03*",S4:S543,"*landfill*",N4:N543,"*hazardous")</f>
        <v>0</v>
      </c>
      <c r="AD11" s="259">
        <f>SUMIFS(I4:I543,O4:O543,"*17 02 04*",Q4:Q543,"*incineration*",N4:N543,"hazardous")+SUMIFS(I4:I543,O4:O543,"*17 02 04*",Q4:Q543,"*landfill*",N4:N543,"hazardous")+SUMIFS(J4:J543,O4:O543,"*17 02 04*",S4:S543,"*incineration*",N4:N543,"hazardous")+SUMIFS(J4:J543,O4:O543,"*17 02 04*",S4:S543,"*landfill*",N4:N543,"hazardous")</f>
        <v>0</v>
      </c>
      <c r="AE11" s="259">
        <f>SUMIFS(I4:I543,O4:O543,"*17 03*",Q4:Q543,"*incineration*",N4:N543,"hazardous")+SUMIFS(I4:I543,O4:O543,"*17 03*",Q4:Q543,"*landfill*",N4:N543,"hazardous")+SUMIFS(J4:J543,O4:O543,"*17 03*",S4:S543,"*incineration*",N4:N543,"hazardous")+SUMIFS(J4:J543,O4:O543,"*17 03*",S4:S543,"*landfill*",N4:N543,"hazardous")</f>
        <v>0</v>
      </c>
      <c r="AF11" s="259">
        <f>SUMIFS(I4:I543,O4:O543,"*17 04*",Q4:Q543,"*incineration*",N4:N543,"hazardous")+SUMIFS(I4:I543,O4:O543,"*17 04*",Q4:Q543,"*landfill*",N4:N543,"hazardous")+SUMIFS(J4:J543,O4:O543,"*17 04*",S4:S543,"*incineration*",N4:N543,"hazardous")+SUMIFS(J4:J543,O4:O543,"*17 04*",S4:S543,"*landfill*",N4:N543,"hazardous")</f>
        <v>0</v>
      </c>
      <c r="AG11" s="259">
        <f>SUMIFS(I4:I543,O4:O543,"*17 06*",Q4:Q543,"*incineration*",N4:N543,"hazardous")+SUMIFS(I4:I543,O4:O543,"*17 06*",Q4:Q543,"*landfill*",N4:N543,"hazardous")+SUMIFS(J4:J543,O4:O543,"*17 06*",S4:S543,"*incineration*",N4:N543,"hazardous")+SUMIFS(J4:J543,O4:O543,"*17 06*",S4:S543,"*landfill*",N4:N543,"hazardous")</f>
        <v>0</v>
      </c>
      <c r="AH11" s="259">
        <f>SUMIFS(I4:I543,O4:O543,"*17 08*",Q4:Q543,"*incineration*",N4:N543,"hazardous")+SUMIFS(I4:I543,O4:O543,"*17 08*",Q4:Q543,"*landfill*",N4:N543,"hazardous")+SUMIFS(J4:J543,O4:O543,"*17 08*",S4:S543,"*incineration*",N4:N543,"hazardous")+SUMIFS(J4:J543,O4:O543,"*17 08*",S4:S543,"*landfill*",N4:N543,"hazardous")</f>
        <v>0</v>
      </c>
      <c r="AI11" s="261">
        <f>SUMIFS(I4:I543,O4:O543,"*17 09*",Q4:Q543,"*incineration*",N4:N543,"hazardous")+SUMIFS(I4:I543,O4:O543,"*17 09*",Q4:Q543,"*landfill*",N4:N543,"hazardous")+SUMIFS(J4:J543,O4:O543,"*17 09*",S4:S543,"*incineration*",N4:N543,"hazardous")+SUMIFS(J4:J543,O4:O543,"*17 09*",S4:S543,"*landfill*",N4:N543,"hazardous")</f>
        <v>0</v>
      </c>
      <c r="AK11" s="282">
        <f>AP9-W12</f>
        <v>0</v>
      </c>
      <c r="AM11" s="27"/>
    </row>
    <row r="12" spans="1:43" ht="24.75" thickBot="1" x14ac:dyDescent="0.3">
      <c r="A12" s="196" t="s">
        <v>395</v>
      </c>
      <c r="B12" s="174" t="s">
        <v>449</v>
      </c>
      <c r="C12" s="199" t="s">
        <v>258</v>
      </c>
      <c r="D12" s="178" t="s">
        <v>257</v>
      </c>
      <c r="E12" s="178" t="s">
        <v>342</v>
      </c>
      <c r="F12" s="176">
        <f>7.5*1700</f>
        <v>12750</v>
      </c>
      <c r="G12" s="184">
        <v>0.1</v>
      </c>
      <c r="H12" s="181">
        <v>0.05</v>
      </c>
      <c r="I12" s="193">
        <f t="shared" si="6"/>
        <v>1275</v>
      </c>
      <c r="J12" s="192">
        <f t="shared" si="7"/>
        <v>637.5</v>
      </c>
      <c r="K12" s="172">
        <f>12/7.5</f>
        <v>1.6</v>
      </c>
      <c r="L12" s="191">
        <f t="shared" si="0"/>
        <v>2040</v>
      </c>
      <c r="M12" s="190">
        <f t="shared" si="8"/>
        <v>1020</v>
      </c>
      <c r="N12" s="176" t="s">
        <v>252</v>
      </c>
      <c r="O12" s="176" t="s">
        <v>10</v>
      </c>
      <c r="P12" s="201" t="s">
        <v>403</v>
      </c>
      <c r="Q12" s="201" t="s">
        <v>163</v>
      </c>
      <c r="R12" s="309" t="s">
        <v>400</v>
      </c>
      <c r="S12" s="309" t="s">
        <v>163</v>
      </c>
      <c r="T12" s="1"/>
      <c r="U12" s="435" t="s">
        <v>165</v>
      </c>
      <c r="V12" s="437"/>
      <c r="W12" s="263">
        <f>SUM(W4:W8)</f>
        <v>792744.5</v>
      </c>
      <c r="X12" s="264">
        <f>SUM(X4:X8)</f>
        <v>317.09780000000001</v>
      </c>
      <c r="Y12" s="265">
        <f>W12/$W$12</f>
        <v>1</v>
      </c>
      <c r="Z12" s="130">
        <f t="shared" ref="Z12:AI12" si="9">SUM(Z4:Z8)</f>
        <v>764100</v>
      </c>
      <c r="AA12" s="131">
        <f t="shared" si="9"/>
        <v>1912.5</v>
      </c>
      <c r="AB12" s="131">
        <f t="shared" si="9"/>
        <v>3150</v>
      </c>
      <c r="AC12" s="131">
        <f t="shared" si="9"/>
        <v>0</v>
      </c>
      <c r="AD12" s="131">
        <f t="shared" si="9"/>
        <v>0</v>
      </c>
      <c r="AE12" s="131">
        <f t="shared" si="9"/>
        <v>312</v>
      </c>
      <c r="AF12" s="131">
        <f t="shared" si="9"/>
        <v>21112.5</v>
      </c>
      <c r="AG12" s="131">
        <f t="shared" si="9"/>
        <v>0</v>
      </c>
      <c r="AH12" s="131">
        <f t="shared" si="9"/>
        <v>2000</v>
      </c>
      <c r="AI12" s="132">
        <f t="shared" si="9"/>
        <v>157.5</v>
      </c>
      <c r="AJ12" s="1"/>
      <c r="AM12" s="27"/>
    </row>
    <row r="13" spans="1:43" ht="39.6" customHeight="1" thickBot="1" x14ac:dyDescent="0.3">
      <c r="A13" s="196" t="s">
        <v>395</v>
      </c>
      <c r="B13" s="174" t="s">
        <v>449</v>
      </c>
      <c r="C13" s="199" t="s">
        <v>105</v>
      </c>
      <c r="D13" s="178" t="s">
        <v>169</v>
      </c>
      <c r="E13" s="178" t="s">
        <v>344</v>
      </c>
      <c r="F13" s="176">
        <f>(1000*0.0125)*640</f>
        <v>8000</v>
      </c>
      <c r="G13" s="184">
        <v>0.2</v>
      </c>
      <c r="H13" s="181">
        <v>0.05</v>
      </c>
      <c r="I13" s="193">
        <f t="shared" si="6"/>
        <v>1600</v>
      </c>
      <c r="J13" s="192">
        <f t="shared" si="7"/>
        <v>400</v>
      </c>
      <c r="K13" s="172">
        <f>5/8</f>
        <v>0.625</v>
      </c>
      <c r="L13" s="191">
        <f t="shared" si="0"/>
        <v>1000</v>
      </c>
      <c r="M13" s="190">
        <f t="shared" si="8"/>
        <v>250</v>
      </c>
      <c r="N13" s="176" t="s">
        <v>252</v>
      </c>
      <c r="O13" s="176" t="s">
        <v>26</v>
      </c>
      <c r="P13" s="201" t="s">
        <v>403</v>
      </c>
      <c r="Q13" s="201" t="s">
        <v>108</v>
      </c>
      <c r="R13" s="309" t="s">
        <v>400</v>
      </c>
      <c r="S13" s="309" t="s">
        <v>403</v>
      </c>
      <c r="T13" s="1"/>
      <c r="U13" s="435" t="s">
        <v>167</v>
      </c>
      <c r="V13" s="436"/>
      <c r="W13" s="436"/>
      <c r="X13" s="437"/>
      <c r="Y13" s="266">
        <v>2500</v>
      </c>
      <c r="Z13" s="1"/>
      <c r="AA13" s="1"/>
      <c r="AB13" s="1"/>
      <c r="AC13" s="1"/>
      <c r="AD13" s="1"/>
      <c r="AE13" s="1"/>
      <c r="AF13" s="1"/>
      <c r="AG13" s="1"/>
      <c r="AH13" s="1"/>
      <c r="AI13" s="1"/>
      <c r="AJ13" s="1"/>
      <c r="AK13" s="1"/>
      <c r="AL13" s="1"/>
      <c r="AM13" s="27"/>
    </row>
    <row r="14" spans="1:43" ht="36" customHeight="1" thickBot="1" x14ac:dyDescent="0.3">
      <c r="A14" s="196" t="s">
        <v>395</v>
      </c>
      <c r="B14" s="174" t="s">
        <v>449</v>
      </c>
      <c r="C14" s="199" t="s">
        <v>348</v>
      </c>
      <c r="D14" s="178" t="s">
        <v>227</v>
      </c>
      <c r="E14" s="178" t="s">
        <v>345</v>
      </c>
      <c r="F14" s="176">
        <f>35*50</f>
        <v>1750</v>
      </c>
      <c r="G14" s="184">
        <v>0.04</v>
      </c>
      <c r="H14" s="181">
        <v>0.05</v>
      </c>
      <c r="I14" s="193">
        <f t="shared" si="6"/>
        <v>70</v>
      </c>
      <c r="J14" s="192">
        <f t="shared" si="7"/>
        <v>87.5</v>
      </c>
      <c r="K14" s="172">
        <f>115/35</f>
        <v>3.2857142857142856</v>
      </c>
      <c r="L14" s="191">
        <f t="shared" si="0"/>
        <v>230</v>
      </c>
      <c r="M14" s="190">
        <f t="shared" si="8"/>
        <v>287.5</v>
      </c>
      <c r="N14" s="176" t="s">
        <v>252</v>
      </c>
      <c r="O14" s="176" t="s">
        <v>28</v>
      </c>
      <c r="P14" s="201" t="s">
        <v>400</v>
      </c>
      <c r="Q14" s="201" t="s">
        <v>163</v>
      </c>
      <c r="R14" s="309" t="s">
        <v>400</v>
      </c>
      <c r="S14" s="309" t="s">
        <v>400</v>
      </c>
      <c r="T14" s="1"/>
      <c r="U14" s="438" t="s">
        <v>166</v>
      </c>
      <c r="V14" s="439"/>
      <c r="W14" s="439"/>
      <c r="X14" s="440"/>
      <c r="Y14" s="52">
        <f>W12/Y13</f>
        <v>317.09780000000001</v>
      </c>
      <c r="Z14" s="1"/>
      <c r="AA14" s="1"/>
      <c r="AB14" s="1"/>
      <c r="AC14" s="1"/>
      <c r="AD14" s="1"/>
      <c r="AE14" s="1"/>
      <c r="AF14" s="1"/>
      <c r="AG14" s="1"/>
      <c r="AH14" s="1"/>
      <c r="AI14" s="1"/>
      <c r="AJ14" s="1"/>
      <c r="AK14" s="1"/>
      <c r="AL14" s="1"/>
      <c r="AM14" s="27"/>
    </row>
    <row r="15" spans="1:43" x14ac:dyDescent="0.25">
      <c r="A15" s="196"/>
      <c r="B15" s="174"/>
      <c r="C15" s="199"/>
      <c r="D15" s="178"/>
      <c r="E15" s="178"/>
      <c r="F15" s="176"/>
      <c r="G15" s="184"/>
      <c r="H15" s="181"/>
      <c r="I15" s="193">
        <f t="shared" si="6"/>
        <v>0</v>
      </c>
      <c r="J15" s="192">
        <f t="shared" si="7"/>
        <v>0</v>
      </c>
      <c r="K15" s="172"/>
      <c r="L15" s="191">
        <f t="shared" si="0"/>
        <v>0</v>
      </c>
      <c r="M15" s="190">
        <f t="shared" si="8"/>
        <v>0</v>
      </c>
      <c r="N15" s="176"/>
      <c r="O15" s="176"/>
      <c r="P15" s="201"/>
      <c r="Q15" s="201"/>
      <c r="R15" s="309"/>
      <c r="S15" s="309"/>
      <c r="T15" s="1"/>
      <c r="U15" s="1"/>
      <c r="V15" s="1"/>
      <c r="W15" s="1"/>
      <c r="X15" s="1"/>
      <c r="Y15" s="1"/>
      <c r="Z15" s="105"/>
      <c r="AA15" s="1"/>
      <c r="AB15" s="1"/>
      <c r="AC15" s="1"/>
      <c r="AD15" s="1"/>
      <c r="AE15" s="1"/>
      <c r="AF15" s="1"/>
      <c r="AG15" s="1"/>
      <c r="AH15" s="1"/>
      <c r="AI15" s="1"/>
      <c r="AJ15" s="1"/>
      <c r="AK15" s="1"/>
      <c r="AL15" s="1"/>
      <c r="AM15" s="27"/>
    </row>
    <row r="16" spans="1:43" ht="15.75" thickBot="1" x14ac:dyDescent="0.3">
      <c r="A16" s="196"/>
      <c r="B16" s="174"/>
      <c r="C16" s="199"/>
      <c r="D16" s="178"/>
      <c r="E16" s="178"/>
      <c r="F16" s="176"/>
      <c r="G16" s="184"/>
      <c r="H16" s="181"/>
      <c r="I16" s="193">
        <f t="shared" si="6"/>
        <v>0</v>
      </c>
      <c r="J16" s="192">
        <f t="shared" si="7"/>
        <v>0</v>
      </c>
      <c r="K16" s="172"/>
      <c r="L16" s="191">
        <f t="shared" si="0"/>
        <v>0</v>
      </c>
      <c r="M16" s="190">
        <f t="shared" si="8"/>
        <v>0</v>
      </c>
      <c r="N16" s="176"/>
      <c r="O16" s="176"/>
      <c r="P16" s="201"/>
      <c r="Q16" s="201"/>
      <c r="R16" s="309"/>
      <c r="S16" s="309"/>
      <c r="T16" s="1"/>
      <c r="U16" s="1"/>
      <c r="V16" s="1"/>
      <c r="W16" s="1"/>
      <c r="X16" s="1"/>
      <c r="Y16" s="114"/>
      <c r="Z16" s="114"/>
      <c r="AA16" s="1"/>
      <c r="AB16" s="1"/>
      <c r="AC16" s="1"/>
      <c r="AD16" s="1"/>
      <c r="AE16" s="1"/>
      <c r="AF16" s="1"/>
      <c r="AG16" s="1"/>
      <c r="AH16" s="1"/>
      <c r="AI16" s="1"/>
      <c r="AJ16" s="1"/>
      <c r="AK16" s="1"/>
      <c r="AL16" s="1"/>
      <c r="AM16" s="27"/>
    </row>
    <row r="17" spans="1:39" ht="15.75" thickBot="1" x14ac:dyDescent="0.3">
      <c r="A17" s="196"/>
      <c r="B17" s="174"/>
      <c r="C17" s="199"/>
      <c r="D17" s="178"/>
      <c r="E17" s="178"/>
      <c r="F17" s="176"/>
      <c r="G17" s="184"/>
      <c r="H17" s="181"/>
      <c r="I17" s="193">
        <f t="shared" si="6"/>
        <v>0</v>
      </c>
      <c r="J17" s="192">
        <f t="shared" si="7"/>
        <v>0</v>
      </c>
      <c r="K17" s="172"/>
      <c r="L17" s="191">
        <f t="shared" si="0"/>
        <v>0</v>
      </c>
      <c r="M17" s="190">
        <f t="shared" si="8"/>
        <v>0</v>
      </c>
      <c r="N17" s="176"/>
      <c r="O17" s="176"/>
      <c r="P17" s="201"/>
      <c r="Q17" s="201"/>
      <c r="R17" s="309"/>
      <c r="S17" s="309"/>
      <c r="T17" s="1"/>
      <c r="U17" s="473" t="s">
        <v>248</v>
      </c>
      <c r="V17" s="474"/>
      <c r="W17" s="474"/>
      <c r="X17" s="475"/>
      <c r="Y17" s="478" t="s">
        <v>464</v>
      </c>
      <c r="Z17" s="479" t="s">
        <v>465</v>
      </c>
      <c r="AA17" s="482" t="s">
        <v>462</v>
      </c>
      <c r="AB17" s="482" t="s">
        <v>463</v>
      </c>
      <c r="AC17" s="1"/>
      <c r="AD17" s="1"/>
      <c r="AE17" s="1"/>
      <c r="AF17" s="1"/>
      <c r="AG17" s="1"/>
      <c r="AH17" s="1"/>
      <c r="AI17" s="1"/>
      <c r="AJ17" s="1"/>
      <c r="AK17" s="1"/>
      <c r="AL17" s="1"/>
      <c r="AM17" s="27"/>
    </row>
    <row r="18" spans="1:39" ht="15.75" thickBot="1" x14ac:dyDescent="0.3">
      <c r="A18" s="196"/>
      <c r="B18" s="174"/>
      <c r="C18" s="199"/>
      <c r="D18" s="178"/>
      <c r="E18" s="178"/>
      <c r="F18" s="176"/>
      <c r="G18" s="184"/>
      <c r="H18" s="181"/>
      <c r="I18" s="193">
        <f t="shared" si="6"/>
        <v>0</v>
      </c>
      <c r="J18" s="192">
        <f t="shared" si="7"/>
        <v>0</v>
      </c>
      <c r="K18" s="172"/>
      <c r="L18" s="191">
        <f t="shared" si="0"/>
        <v>0</v>
      </c>
      <c r="M18" s="190">
        <f t="shared" si="8"/>
        <v>0</v>
      </c>
      <c r="N18" s="176"/>
      <c r="O18" s="176"/>
      <c r="P18" s="201"/>
      <c r="Q18" s="201"/>
      <c r="R18" s="309"/>
      <c r="S18" s="309"/>
      <c r="T18" s="1"/>
      <c r="U18" s="476"/>
      <c r="V18" s="477" t="s">
        <v>162</v>
      </c>
      <c r="W18" s="477" t="s">
        <v>251</v>
      </c>
      <c r="X18" s="477" t="s">
        <v>276</v>
      </c>
      <c r="Y18" s="480"/>
      <c r="Z18" s="481"/>
      <c r="AA18" s="483"/>
      <c r="AB18" s="483"/>
      <c r="AC18" s="1"/>
      <c r="AD18" s="1"/>
      <c r="AE18" s="1"/>
      <c r="AF18" s="1"/>
      <c r="AG18" s="1"/>
      <c r="AH18" s="1"/>
      <c r="AI18" s="1"/>
      <c r="AJ18" s="1"/>
      <c r="AK18" s="1"/>
      <c r="AL18" s="1"/>
      <c r="AM18" s="27"/>
    </row>
    <row r="19" spans="1:39" x14ac:dyDescent="0.25">
      <c r="A19" s="196"/>
      <c r="B19" s="174"/>
      <c r="C19" s="199"/>
      <c r="D19" s="178"/>
      <c r="E19" s="178"/>
      <c r="F19" s="176"/>
      <c r="G19" s="184"/>
      <c r="H19" s="181"/>
      <c r="I19" s="193">
        <f t="shared" si="6"/>
        <v>0</v>
      </c>
      <c r="J19" s="192">
        <f t="shared" si="7"/>
        <v>0</v>
      </c>
      <c r="K19" s="172"/>
      <c r="L19" s="191">
        <f t="shared" si="0"/>
        <v>0</v>
      </c>
      <c r="M19" s="190">
        <f t="shared" si="8"/>
        <v>0</v>
      </c>
      <c r="N19" s="176"/>
      <c r="O19" s="176"/>
      <c r="P19" s="201"/>
      <c r="Q19" s="201"/>
      <c r="R19" s="309"/>
      <c r="S19" s="309"/>
      <c r="T19" s="1"/>
      <c r="U19" s="43" t="s">
        <v>106</v>
      </c>
      <c r="V19" s="206">
        <f>SUMIFS(I4:I103,O4:O103,"*17 01*",N4:N103,"*Inert*")+SUMIFS(I4:I103,O4:O103,"*17 02*",N4:N103,"*Inert*")+SUMIFS(I4:I103,O4:O103,"*17 03*",N4:N103,"*Inert*")+SUMIFS(I4:I103,O4:O103,"*17 04*",N4:N103,"*Inert*")+SUMIFS(I4:I103,O4:O103,"*17 06*",N4:N103,"*Inert*")+SUMIFS(I4:I103,O4:O103,"*17 08*",N4:N103,"*Inert*")+SUMIFS(I4:I103,O4:O103,"*17 09*",N4:N103,"*Inert*")+SUMIFS(J4:J103,O4:O103,"*17 01*",N4:N103,"*Inert*")+SUMIFS(J4:J103,O4:O103,"*17 02*",N4:N103,"*Inert*")+SUMIFS(J4:J103,O4:O103,"*17 03*",N4:N103,"*Inert*")+SUMIFS(J4:J103,O4:O103,"*17 04*",N4:N103,"*Inert*")+SUMIFS(J4:J103,O4:O103,"*17 06*",N4:N103,"*Inert*")+SUMIFS(J4:J103,O4:O103,"*17 08*",N4:N103,"*Inert*")+SUMIFS(J4:J103,O4:O103,"*17 09*",N4:N103,"*Inert*")</f>
        <v>767250</v>
      </c>
      <c r="W19" s="207">
        <f>V19/V22</f>
        <v>0.96784020576617058</v>
      </c>
      <c r="X19" s="208">
        <f>V19/$Y$13</f>
        <v>306.89999999999998</v>
      </c>
      <c r="Y19" s="212">
        <v>10</v>
      </c>
      <c r="Z19" s="209">
        <f>(V19/1000)*Y19</f>
        <v>7672.5</v>
      </c>
      <c r="AA19" s="483"/>
      <c r="AB19" s="483"/>
      <c r="AC19" s="1"/>
      <c r="AD19" s="1"/>
      <c r="AE19" s="1"/>
      <c r="AF19" s="1"/>
      <c r="AG19" s="1"/>
      <c r="AH19" s="1"/>
      <c r="AI19" s="1"/>
      <c r="AJ19" s="1"/>
      <c r="AK19" s="1"/>
      <c r="AL19" s="1"/>
      <c r="AM19" s="27"/>
    </row>
    <row r="20" spans="1:39" ht="16.5" customHeight="1" x14ac:dyDescent="0.25">
      <c r="A20" s="196"/>
      <c r="B20" s="174"/>
      <c r="C20" s="199"/>
      <c r="D20" s="178"/>
      <c r="E20" s="178"/>
      <c r="F20" s="176"/>
      <c r="G20" s="184"/>
      <c r="H20" s="181"/>
      <c r="I20" s="193">
        <f t="shared" si="6"/>
        <v>0</v>
      </c>
      <c r="J20" s="192">
        <f t="shared" si="7"/>
        <v>0</v>
      </c>
      <c r="K20" s="172"/>
      <c r="L20" s="191">
        <f t="shared" si="0"/>
        <v>0</v>
      </c>
      <c r="M20" s="190">
        <f t="shared" si="8"/>
        <v>0</v>
      </c>
      <c r="N20" s="176"/>
      <c r="O20" s="176"/>
      <c r="P20" s="201"/>
      <c r="Q20" s="201"/>
      <c r="R20" s="309"/>
      <c r="S20" s="309"/>
      <c r="T20" s="1"/>
      <c r="U20" s="43" t="s">
        <v>211</v>
      </c>
      <c r="V20" s="206">
        <f>SUMIFS(I4:I103,O4:O103,"*17 01*",N4:N103,"*Non-haz*")+SUMIFS(I4:I103,O4:O103,"*17 02*",N4:N103,"*Non-haz*")+SUMIFS(I4:I103,O4:O103,"*17 03*",N4:N103,"*Non-haz*")+SUMIFS(I4:I103,O4:O103,"*17 04*",N4:N103,"*Non-haz*")+SUMIFS(I4:I103,O4:O103,"*17 06*",N4:N103,"*Non-haz*")+SUMIFS(I4:I103,O4:O103,"*17 08*",N4:N103,"*Non-haz*")+SUMIFS(I4:I103,O4:O103,"*17 09*",N4:N103,"*Non-haz*")+SUMIFS(J4:J103,O4:O103,"*17 01*",N4:N103,"*Non-haz*")+SUMIFS(J4:J103,O4:O103,"*17 02*",N4:N103,"*Non-haz*")+SUMIFS(J4:J103,O4:O103,"*17 03*",N4:N103,"*Non-haz*")+SUMIFS(J4:J103,O4:O103,"*17 04*",N4:N103,"*Non-haz*")+SUMIFS(J4:J103,O4:O103,"*17 06*",N4:N103,"*Non-haz*")+SUMIFS(J4:J103,O4:O103,"*17 08*",N4:N103,"*Non-haz*")+SUMIFS(J4:J103,O4:O103,"*17 09*",N4:N103,"*Non-haz*")</f>
        <v>25494.5</v>
      </c>
      <c r="W20" s="207">
        <f>V20/V22</f>
        <v>3.2159794233829433E-2</v>
      </c>
      <c r="X20" s="208">
        <f>V20/$Y$13</f>
        <v>10.197800000000001</v>
      </c>
      <c r="Y20" s="213">
        <v>70</v>
      </c>
      <c r="Z20" s="210">
        <f>(V20/1000)*Y20</f>
        <v>1784.615</v>
      </c>
      <c r="AA20" s="483"/>
      <c r="AB20" s="483"/>
      <c r="AC20" s="1"/>
      <c r="AD20" s="1"/>
      <c r="AE20" s="1"/>
      <c r="AF20" s="1"/>
      <c r="AG20" s="1"/>
      <c r="AH20" s="1"/>
      <c r="AI20" s="1"/>
      <c r="AJ20" s="1"/>
      <c r="AK20" s="1"/>
      <c r="AL20" s="1"/>
      <c r="AM20" s="27"/>
    </row>
    <row r="21" spans="1:39" ht="15.75" thickBot="1" x14ac:dyDescent="0.3">
      <c r="A21" s="196"/>
      <c r="B21" s="174"/>
      <c r="C21" s="199"/>
      <c r="D21" s="178"/>
      <c r="E21" s="178"/>
      <c r="F21" s="176"/>
      <c r="G21" s="184"/>
      <c r="H21" s="181"/>
      <c r="I21" s="193">
        <f t="shared" si="6"/>
        <v>0</v>
      </c>
      <c r="J21" s="192">
        <f t="shared" si="7"/>
        <v>0</v>
      </c>
      <c r="K21" s="172"/>
      <c r="L21" s="191">
        <f t="shared" si="0"/>
        <v>0</v>
      </c>
      <c r="M21" s="190">
        <f t="shared" si="8"/>
        <v>0</v>
      </c>
      <c r="N21" s="176"/>
      <c r="O21" s="176"/>
      <c r="P21" s="201"/>
      <c r="Q21" s="201"/>
      <c r="R21" s="309"/>
      <c r="S21" s="309"/>
      <c r="T21" s="1"/>
      <c r="U21" s="43" t="s">
        <v>241</v>
      </c>
      <c r="V21" s="206">
        <f>SUMIFS(I4:I103,O4:O103,"*17 01*",N4:N103,"Hazardous")+SUMIFS(I4:I103,O4:O103,"*17 02*",N4:N103,"Hazardous")+SUMIFS(I4:I103,O4:O103,"*17 03*",N4:N103,"Hazardous")+SUMIFS(I4:I103,O4:O103,"*17 04*",N4:N103,"Hazardous")+SUMIFS(I4:I103,O4:O103,"*17 06*",N4:N103,"Hazardous")+SUMIFS(I4:I103,O4:O103,"*17 08*",N4:N103,"Hazardous")+SUMIFS(I4:I103,O4:O103,"*17 09*",N4:N103,"Hazardous")+SUMIFS(J4:J103,O4:O103,"*17 01*",N4:N103,"Hazardous")+SUMIFS(J4:J103,O4:O103,"*17 02*",N4:N103,"Hazardous")+SUMIFS(J4:J103,O4:O103,"*17 03*",N4:N103,"Hazardous")+SUMIFS(J4:J103,O4:O103,"*17 04*",N4:N103,"Hazardous")+SUMIFS(J4:J103,O4:O103,"*17 06*",N4:N103,"Hazardous")+SUMIFS(J4:J103,O4:O103,"*17 08*",N4:N103,"Hazardous")+SUMIFS(J4:J103,O4:O103,"*17 09*",N4:N103,"Hazardous")</f>
        <v>0</v>
      </c>
      <c r="W21" s="207">
        <f>V21/V22</f>
        <v>0</v>
      </c>
      <c r="X21" s="208">
        <f>V21/$Y$13</f>
        <v>0</v>
      </c>
      <c r="Y21" s="214">
        <v>275</v>
      </c>
      <c r="Z21" s="211">
        <f>(V21/1000)*Y21</f>
        <v>0</v>
      </c>
      <c r="AA21" s="484"/>
      <c r="AB21" s="484"/>
      <c r="AC21" s="1"/>
      <c r="AD21" s="1"/>
      <c r="AE21" s="1"/>
      <c r="AF21" s="1"/>
      <c r="AG21" s="1"/>
      <c r="AH21" s="1"/>
      <c r="AI21" s="1"/>
      <c r="AJ21" s="1"/>
      <c r="AK21" s="1"/>
      <c r="AL21" s="1"/>
      <c r="AM21" s="27"/>
    </row>
    <row r="22" spans="1:39" ht="16.5" customHeight="1" thickBot="1" x14ac:dyDescent="0.3">
      <c r="A22" s="196"/>
      <c r="B22" s="174"/>
      <c r="C22" s="199"/>
      <c r="D22" s="178"/>
      <c r="E22" s="178"/>
      <c r="F22" s="176"/>
      <c r="G22" s="184"/>
      <c r="H22" s="181"/>
      <c r="I22" s="193">
        <f t="shared" si="6"/>
        <v>0</v>
      </c>
      <c r="J22" s="192">
        <f t="shared" si="7"/>
        <v>0</v>
      </c>
      <c r="K22" s="172"/>
      <c r="L22" s="191">
        <f t="shared" si="0"/>
        <v>0</v>
      </c>
      <c r="M22" s="190">
        <f t="shared" si="8"/>
        <v>0</v>
      </c>
      <c r="N22" s="176"/>
      <c r="O22" s="176"/>
      <c r="P22" s="201"/>
      <c r="Q22" s="201"/>
      <c r="R22" s="309"/>
      <c r="S22" s="309"/>
      <c r="T22" s="1"/>
      <c r="U22" s="130" t="s">
        <v>214</v>
      </c>
      <c r="V22" s="149">
        <f>SUM(V19:V21)</f>
        <v>792744.5</v>
      </c>
      <c r="W22" s="147">
        <f>V22/W12</f>
        <v>1</v>
      </c>
      <c r="X22" s="148">
        <f>SUM(X19:X21)</f>
        <v>317.09780000000001</v>
      </c>
      <c r="Y22" s="170"/>
      <c r="Z22" s="49">
        <f>SUM(Z19:Z21)</f>
        <v>9457.1149999999998</v>
      </c>
      <c r="AA22" s="49">
        <f>SUM(L4:L543)</f>
        <v>66811.25</v>
      </c>
      <c r="AB22" s="49">
        <f>SUM(M4:M543)</f>
        <v>27607.5</v>
      </c>
      <c r="AC22" s="1"/>
      <c r="AD22" s="1"/>
      <c r="AE22" s="1"/>
      <c r="AF22" s="1"/>
      <c r="AG22" s="1"/>
      <c r="AH22" s="1"/>
      <c r="AI22" s="1"/>
      <c r="AJ22" s="1"/>
      <c r="AK22" s="1"/>
      <c r="AL22" s="1"/>
      <c r="AM22" s="27"/>
    </row>
    <row r="23" spans="1:39" x14ac:dyDescent="0.25">
      <c r="A23" s="196"/>
      <c r="B23" s="174"/>
      <c r="C23" s="199"/>
      <c r="D23" s="178"/>
      <c r="E23" s="178"/>
      <c r="F23" s="176"/>
      <c r="G23" s="184"/>
      <c r="H23" s="181"/>
      <c r="I23" s="193">
        <f t="shared" si="6"/>
        <v>0</v>
      </c>
      <c r="J23" s="192">
        <f t="shared" si="7"/>
        <v>0</v>
      </c>
      <c r="K23" s="172"/>
      <c r="L23" s="191">
        <f t="shared" si="0"/>
        <v>0</v>
      </c>
      <c r="M23" s="190">
        <f t="shared" si="8"/>
        <v>0</v>
      </c>
      <c r="N23" s="176"/>
      <c r="O23" s="176"/>
      <c r="P23" s="201"/>
      <c r="Q23" s="201"/>
      <c r="R23" s="309"/>
      <c r="S23" s="309"/>
      <c r="T23" s="1"/>
      <c r="U23" s="168"/>
      <c r="V23" s="73"/>
      <c r="W23" s="2"/>
      <c r="X23" s="169"/>
      <c r="Y23" s="2"/>
      <c r="Z23" s="2"/>
      <c r="AA23" s="1"/>
      <c r="AB23" s="1"/>
      <c r="AC23" s="1"/>
      <c r="AD23" s="1"/>
      <c r="AE23" s="1"/>
      <c r="AF23" s="1"/>
      <c r="AG23" s="1"/>
      <c r="AH23" s="1"/>
      <c r="AI23" s="1"/>
      <c r="AJ23" s="1"/>
      <c r="AK23" s="1"/>
      <c r="AL23" s="1"/>
      <c r="AM23" s="27"/>
    </row>
    <row r="24" spans="1:39" ht="15" customHeight="1" x14ac:dyDescent="0.25">
      <c r="A24" s="196"/>
      <c r="B24" s="174"/>
      <c r="C24" s="199"/>
      <c r="D24" s="178"/>
      <c r="E24" s="178"/>
      <c r="F24" s="176"/>
      <c r="G24" s="184"/>
      <c r="H24" s="181"/>
      <c r="I24" s="193">
        <f t="shared" si="6"/>
        <v>0</v>
      </c>
      <c r="J24" s="192">
        <f t="shared" si="7"/>
        <v>0</v>
      </c>
      <c r="K24" s="172"/>
      <c r="L24" s="191">
        <f t="shared" si="0"/>
        <v>0</v>
      </c>
      <c r="M24" s="190">
        <f t="shared" si="8"/>
        <v>0</v>
      </c>
      <c r="N24" s="176"/>
      <c r="O24" s="176"/>
      <c r="P24" s="201"/>
      <c r="Q24" s="201"/>
      <c r="R24" s="309"/>
      <c r="S24" s="309"/>
      <c r="T24" s="1"/>
      <c r="U24" s="168"/>
      <c r="V24" s="73"/>
      <c r="W24" s="64"/>
      <c r="X24" s="169"/>
      <c r="Y24" s="64"/>
      <c r="Z24" s="2"/>
      <c r="AA24" s="1"/>
      <c r="AB24" s="1"/>
      <c r="AC24" s="1"/>
      <c r="AD24" s="1"/>
      <c r="AE24" s="1"/>
      <c r="AF24" s="1"/>
      <c r="AG24" s="1"/>
      <c r="AH24" s="1"/>
      <c r="AI24" s="1"/>
      <c r="AJ24" s="1"/>
      <c r="AK24" s="1"/>
      <c r="AL24" s="1"/>
      <c r="AM24" s="27"/>
    </row>
    <row r="25" spans="1:39" ht="15.75" thickBot="1" x14ac:dyDescent="0.3">
      <c r="A25" s="196"/>
      <c r="B25" s="174"/>
      <c r="C25" s="199"/>
      <c r="D25" s="178"/>
      <c r="E25" s="178"/>
      <c r="F25" s="176"/>
      <c r="G25" s="184"/>
      <c r="H25" s="181"/>
      <c r="I25" s="193">
        <f t="shared" si="6"/>
        <v>0</v>
      </c>
      <c r="J25" s="192">
        <f t="shared" si="7"/>
        <v>0</v>
      </c>
      <c r="K25" s="172"/>
      <c r="L25" s="191">
        <f t="shared" si="0"/>
        <v>0</v>
      </c>
      <c r="M25" s="190">
        <f t="shared" si="8"/>
        <v>0</v>
      </c>
      <c r="N25" s="176"/>
      <c r="O25" s="176"/>
      <c r="P25" s="201"/>
      <c r="Q25" s="201"/>
      <c r="R25" s="309"/>
      <c r="S25" s="309"/>
      <c r="T25" s="1"/>
      <c r="AA25" s="1"/>
      <c r="AB25" s="1"/>
      <c r="AC25" s="1"/>
      <c r="AD25" s="1"/>
      <c r="AE25" s="1"/>
      <c r="AF25" s="1"/>
      <c r="AG25" s="1"/>
      <c r="AH25" s="1"/>
      <c r="AI25" s="1"/>
      <c r="AJ25" s="1"/>
      <c r="AK25" s="1"/>
      <c r="AL25" s="1"/>
      <c r="AM25" s="27"/>
    </row>
    <row r="26" spans="1:39" ht="15.75" thickBot="1" x14ac:dyDescent="0.3">
      <c r="A26" s="196"/>
      <c r="B26" s="174"/>
      <c r="C26" s="199"/>
      <c r="D26" s="178"/>
      <c r="E26" s="178"/>
      <c r="F26" s="176"/>
      <c r="G26" s="184"/>
      <c r="H26" s="181"/>
      <c r="I26" s="193">
        <f t="shared" si="6"/>
        <v>0</v>
      </c>
      <c r="J26" s="192">
        <f t="shared" si="7"/>
        <v>0</v>
      </c>
      <c r="K26" s="172"/>
      <c r="L26" s="191">
        <f t="shared" si="0"/>
        <v>0</v>
      </c>
      <c r="M26" s="190">
        <f t="shared" si="8"/>
        <v>0</v>
      </c>
      <c r="N26" s="176"/>
      <c r="O26" s="176"/>
      <c r="P26" s="201"/>
      <c r="Q26" s="201"/>
      <c r="R26" s="309"/>
      <c r="S26" s="309"/>
      <c r="T26" s="1"/>
      <c r="U26" s="448" t="s">
        <v>275</v>
      </c>
      <c r="V26" s="449"/>
      <c r="W26" s="65" t="s">
        <v>162</v>
      </c>
      <c r="X26" s="65" t="s">
        <v>276</v>
      </c>
      <c r="Y26" s="65" t="s">
        <v>115</v>
      </c>
      <c r="Z26" s="115" t="s">
        <v>122</v>
      </c>
      <c r="AA26" s="1"/>
      <c r="AB26" s="1"/>
      <c r="AC26" s="1"/>
      <c r="AD26" s="1"/>
      <c r="AE26" s="1"/>
      <c r="AF26" s="1"/>
      <c r="AG26" s="1"/>
      <c r="AH26" s="1"/>
      <c r="AI26" s="1"/>
      <c r="AJ26" s="1"/>
      <c r="AK26" s="1"/>
      <c r="AL26" s="1"/>
      <c r="AM26" s="27"/>
    </row>
    <row r="27" spans="1:39" ht="17.25" customHeight="1" thickBot="1" x14ac:dyDescent="0.3">
      <c r="A27" s="196"/>
      <c r="B27" s="174"/>
      <c r="C27" s="199"/>
      <c r="D27" s="178"/>
      <c r="E27" s="178"/>
      <c r="F27" s="176"/>
      <c r="G27" s="184"/>
      <c r="H27" s="181"/>
      <c r="I27" s="193">
        <f t="shared" si="6"/>
        <v>0</v>
      </c>
      <c r="J27" s="192">
        <f t="shared" si="7"/>
        <v>0</v>
      </c>
      <c r="K27" s="172"/>
      <c r="L27" s="191">
        <f t="shared" si="0"/>
        <v>0</v>
      </c>
      <c r="M27" s="190">
        <f t="shared" si="8"/>
        <v>0</v>
      </c>
      <c r="N27" s="176"/>
      <c r="O27" s="176"/>
      <c r="P27" s="201"/>
      <c r="Q27" s="201"/>
      <c r="R27" s="309"/>
      <c r="S27" s="309"/>
      <c r="T27" s="1"/>
      <c r="U27" s="442" t="s">
        <v>204</v>
      </c>
      <c r="V27" s="443"/>
      <c r="W27" s="215">
        <f>SUMIF(O4:O103,"*17 05*",I4:I103)+SUMIF(O4:O103,"*17 05*",J4:J103)</f>
        <v>0</v>
      </c>
      <c r="X27" s="216">
        <f>W27/Y13</f>
        <v>0</v>
      </c>
      <c r="Y27" s="216">
        <f>W27/1000</f>
        <v>0</v>
      </c>
      <c r="Z27" s="217" t="e">
        <f>Y27/Y27</f>
        <v>#DIV/0!</v>
      </c>
      <c r="AA27" s="1"/>
      <c r="AB27" s="1"/>
      <c r="AC27" s="1"/>
      <c r="AD27" s="1"/>
      <c r="AE27" s="1"/>
      <c r="AF27" s="1"/>
      <c r="AG27" s="1"/>
      <c r="AH27" s="1"/>
      <c r="AI27" s="1"/>
      <c r="AJ27" s="1"/>
      <c r="AK27" s="1"/>
      <c r="AL27" s="1"/>
      <c r="AM27" s="27"/>
    </row>
    <row r="28" spans="1:39" x14ac:dyDescent="0.25">
      <c r="A28" s="196"/>
      <c r="B28" s="174"/>
      <c r="C28" s="199"/>
      <c r="D28" s="178"/>
      <c r="E28" s="178"/>
      <c r="F28" s="176"/>
      <c r="G28" s="184"/>
      <c r="H28" s="181"/>
      <c r="I28" s="193">
        <f t="shared" si="6"/>
        <v>0</v>
      </c>
      <c r="J28" s="192">
        <f t="shared" si="7"/>
        <v>0</v>
      </c>
      <c r="K28" s="172"/>
      <c r="L28" s="191">
        <f t="shared" si="0"/>
        <v>0</v>
      </c>
      <c r="M28" s="190">
        <f t="shared" si="8"/>
        <v>0</v>
      </c>
      <c r="N28" s="176"/>
      <c r="O28" s="176"/>
      <c r="P28" s="201"/>
      <c r="Q28" s="201"/>
      <c r="R28" s="309"/>
      <c r="S28" s="309"/>
      <c r="T28" s="1"/>
      <c r="U28" s="450" t="s">
        <v>208</v>
      </c>
      <c r="V28" s="451"/>
      <c r="W28" s="215">
        <f>SUMIFS(I4:I103,O4:O103,"*17 05*",N4:N103,"*Non-haz*")+SUMIFS(I4:I103,O4:O103,"*17 05*",N4:N103,"*inert*")+SUMIFS(J4:J103,O4:O103,"*17 05*",N4:N103,"*Non-haz*")+SUMIFS(J4:J103,O4:O103,"*17 05*",N4:N103,"*inert*")</f>
        <v>0</v>
      </c>
      <c r="X28" s="216">
        <f>W28/Y13</f>
        <v>0</v>
      </c>
      <c r="Y28" s="216">
        <f t="shared" ref="Y28:Y30" si="10">W28/1000</f>
        <v>0</v>
      </c>
      <c r="Z28" s="217" t="e">
        <f>Y28/Y27</f>
        <v>#DIV/0!</v>
      </c>
      <c r="AA28" s="1"/>
      <c r="AB28" s="1"/>
      <c r="AC28" s="1"/>
      <c r="AD28" s="1"/>
      <c r="AE28" s="1"/>
      <c r="AF28" s="1"/>
      <c r="AG28" s="1"/>
      <c r="AH28" s="1"/>
      <c r="AI28" s="1"/>
      <c r="AJ28" s="1"/>
      <c r="AK28" s="1"/>
      <c r="AL28" s="1"/>
      <c r="AM28" s="27"/>
    </row>
    <row r="29" spans="1:39" ht="15.75" thickBot="1" x14ac:dyDescent="0.3">
      <c r="A29" s="196"/>
      <c r="B29" s="174"/>
      <c r="C29" s="199"/>
      <c r="D29" s="178"/>
      <c r="E29" s="178"/>
      <c r="F29" s="176"/>
      <c r="G29" s="184"/>
      <c r="H29" s="181"/>
      <c r="I29" s="193">
        <f t="shared" si="6"/>
        <v>0</v>
      </c>
      <c r="J29" s="192">
        <f t="shared" si="7"/>
        <v>0</v>
      </c>
      <c r="K29" s="172"/>
      <c r="L29" s="191">
        <f t="shared" si="0"/>
        <v>0</v>
      </c>
      <c r="M29" s="190">
        <f t="shared" si="8"/>
        <v>0</v>
      </c>
      <c r="N29" s="176"/>
      <c r="O29" s="176"/>
      <c r="P29" s="201"/>
      <c r="Q29" s="201"/>
      <c r="R29" s="309"/>
      <c r="S29" s="309"/>
      <c r="T29" s="1"/>
      <c r="U29" s="444" t="s">
        <v>207</v>
      </c>
      <c r="V29" s="445"/>
      <c r="W29" s="218">
        <f>SUMIFS(I4:I103,O4:O103,"*17 05*",N4:N103,"Hazardous")+SUMIFS(J4:J103,O4:O103,"*17 05*",N4:N103,"Hazardous")</f>
        <v>0</v>
      </c>
      <c r="X29" s="219">
        <f>W29/Y13</f>
        <v>0</v>
      </c>
      <c r="Y29" s="219">
        <f t="shared" si="10"/>
        <v>0</v>
      </c>
      <c r="Z29" s="220" t="e">
        <f>Y29/Y27</f>
        <v>#DIV/0!</v>
      </c>
      <c r="AA29" s="1"/>
      <c r="AB29" s="1"/>
      <c r="AC29" s="1"/>
      <c r="AD29" s="1"/>
      <c r="AE29" s="1"/>
      <c r="AF29" s="1"/>
      <c r="AG29" s="1"/>
      <c r="AH29" s="1"/>
      <c r="AI29" s="1"/>
      <c r="AJ29" s="1"/>
      <c r="AK29" s="1"/>
      <c r="AL29" s="1"/>
    </row>
    <row r="30" spans="1:39" ht="18" customHeight="1" thickBot="1" x14ac:dyDescent="0.3">
      <c r="A30" s="196"/>
      <c r="B30" s="174"/>
      <c r="C30" s="199"/>
      <c r="D30" s="178"/>
      <c r="E30" s="178"/>
      <c r="F30" s="176"/>
      <c r="G30" s="184"/>
      <c r="H30" s="181"/>
      <c r="I30" s="193">
        <f t="shared" si="6"/>
        <v>0</v>
      </c>
      <c r="J30" s="192">
        <f t="shared" si="7"/>
        <v>0</v>
      </c>
      <c r="K30" s="172"/>
      <c r="L30" s="191">
        <f t="shared" si="0"/>
        <v>0</v>
      </c>
      <c r="M30" s="190">
        <f t="shared" si="8"/>
        <v>0</v>
      </c>
      <c r="N30" s="176"/>
      <c r="O30" s="176"/>
      <c r="P30" s="201"/>
      <c r="Q30" s="201"/>
      <c r="R30" s="309"/>
      <c r="S30" s="309"/>
      <c r="T30" s="1"/>
      <c r="U30" s="442" t="s">
        <v>209</v>
      </c>
      <c r="V30" s="443"/>
      <c r="W30" s="218">
        <f>SUMIFS(I4:I103,O4:O103,"*17 05*",Q4:Q103,"*onsite*")+SUMIFS(J4:J103,O4:O103,"*17 05*",Q4:Q103,"*onsite*")</f>
        <v>0</v>
      </c>
      <c r="X30" s="219">
        <f>W30/Y13</f>
        <v>0</v>
      </c>
      <c r="Y30" s="219">
        <f t="shared" si="10"/>
        <v>0</v>
      </c>
      <c r="Z30" s="220" t="e">
        <f>Y30/Y27</f>
        <v>#DIV/0!</v>
      </c>
      <c r="AA30" s="1"/>
      <c r="AB30" s="1"/>
      <c r="AC30" s="1"/>
      <c r="AD30" s="1"/>
      <c r="AE30" s="1"/>
      <c r="AF30" s="1"/>
      <c r="AG30" s="1"/>
      <c r="AH30" s="1"/>
      <c r="AI30" s="1"/>
      <c r="AJ30" s="1"/>
      <c r="AK30" s="1"/>
      <c r="AL30" s="1"/>
      <c r="AM30" s="27"/>
    </row>
    <row r="31" spans="1:39" x14ac:dyDescent="0.25">
      <c r="A31" s="196"/>
      <c r="B31" s="174"/>
      <c r="C31" s="199"/>
      <c r="D31" s="178"/>
      <c r="E31" s="178"/>
      <c r="F31" s="176"/>
      <c r="G31" s="184"/>
      <c r="H31" s="181"/>
      <c r="I31" s="193">
        <f t="shared" si="6"/>
        <v>0</v>
      </c>
      <c r="J31" s="192">
        <f t="shared" si="7"/>
        <v>0</v>
      </c>
      <c r="K31" s="172"/>
      <c r="L31" s="191">
        <f t="shared" si="0"/>
        <v>0</v>
      </c>
      <c r="M31" s="190">
        <f t="shared" si="8"/>
        <v>0</v>
      </c>
      <c r="N31" s="176"/>
      <c r="O31" s="176"/>
      <c r="P31" s="201"/>
      <c r="Q31" s="201"/>
      <c r="R31" s="309"/>
      <c r="S31" s="309"/>
      <c r="T31" s="1"/>
      <c r="U31" s="1"/>
      <c r="V31" s="1"/>
      <c r="W31" s="1"/>
      <c r="X31" s="1"/>
      <c r="Y31" s="1"/>
      <c r="Z31" s="1"/>
      <c r="AA31" s="12"/>
      <c r="AB31" s="12"/>
      <c r="AC31" s="12"/>
      <c r="AD31" s="12"/>
      <c r="AE31" s="11"/>
      <c r="AF31" s="11"/>
      <c r="AG31" s="1"/>
      <c r="AH31" s="9"/>
      <c r="AI31" s="1"/>
      <c r="AJ31" s="1"/>
      <c r="AK31" s="1"/>
      <c r="AL31" s="1"/>
      <c r="AM31" s="27"/>
    </row>
    <row r="32" spans="1:39" x14ac:dyDescent="0.25">
      <c r="A32" s="196"/>
      <c r="B32" s="174"/>
      <c r="C32" s="199"/>
      <c r="D32" s="178"/>
      <c r="E32" s="178"/>
      <c r="F32" s="176"/>
      <c r="G32" s="184"/>
      <c r="H32" s="181"/>
      <c r="I32" s="193">
        <f t="shared" si="6"/>
        <v>0</v>
      </c>
      <c r="J32" s="192">
        <f t="shared" si="7"/>
        <v>0</v>
      </c>
      <c r="K32" s="172"/>
      <c r="L32" s="191">
        <f t="shared" si="0"/>
        <v>0</v>
      </c>
      <c r="M32" s="190">
        <f t="shared" si="8"/>
        <v>0</v>
      </c>
      <c r="N32" s="176"/>
      <c r="O32" s="176"/>
      <c r="P32" s="201"/>
      <c r="Q32" s="201"/>
      <c r="R32" s="309"/>
      <c r="S32" s="309"/>
      <c r="T32" s="1"/>
      <c r="U32" s="1"/>
      <c r="V32" s="1"/>
      <c r="W32" s="1"/>
      <c r="X32" s="1"/>
      <c r="Y32" s="1"/>
      <c r="Z32" s="1"/>
      <c r="AA32" s="106"/>
      <c r="AB32" s="106"/>
      <c r="AC32" s="106"/>
      <c r="AD32" s="106"/>
      <c r="AE32" s="106"/>
      <c r="AF32" s="106"/>
      <c r="AG32" s="1"/>
      <c r="AH32" s="1"/>
      <c r="AI32" s="106"/>
      <c r="AJ32" s="106"/>
      <c r="AK32" s="1"/>
      <c r="AL32" s="1"/>
      <c r="AM32" s="27"/>
    </row>
    <row r="33" spans="1:39" x14ac:dyDescent="0.25">
      <c r="A33" s="196"/>
      <c r="B33" s="174"/>
      <c r="C33" s="199"/>
      <c r="D33" s="178"/>
      <c r="E33" s="178"/>
      <c r="F33" s="176"/>
      <c r="G33" s="184"/>
      <c r="H33" s="181"/>
      <c r="I33" s="193">
        <f t="shared" si="6"/>
        <v>0</v>
      </c>
      <c r="J33" s="192">
        <f t="shared" si="7"/>
        <v>0</v>
      </c>
      <c r="K33" s="172"/>
      <c r="L33" s="191">
        <f t="shared" si="0"/>
        <v>0</v>
      </c>
      <c r="M33" s="190">
        <f t="shared" si="8"/>
        <v>0</v>
      </c>
      <c r="N33" s="176"/>
      <c r="O33" s="176"/>
      <c r="P33" s="201"/>
      <c r="Q33" s="201"/>
      <c r="R33" s="309"/>
      <c r="S33" s="309"/>
      <c r="T33" s="1"/>
      <c r="U33" s="1"/>
      <c r="V33" s="1"/>
      <c r="W33" s="1"/>
      <c r="X33" s="1"/>
      <c r="Y33" s="1"/>
      <c r="Z33" s="1"/>
      <c r="AA33" s="1"/>
      <c r="AB33" s="1"/>
      <c r="AC33" s="1"/>
      <c r="AD33" s="1"/>
      <c r="AE33" s="1"/>
      <c r="AF33" s="1"/>
      <c r="AG33" s="1"/>
      <c r="AH33" s="1"/>
      <c r="AI33" s="1"/>
      <c r="AJ33" s="106"/>
      <c r="AK33" s="1"/>
      <c r="AL33" s="1"/>
      <c r="AM33" s="27"/>
    </row>
    <row r="34" spans="1:39" x14ac:dyDescent="0.25">
      <c r="A34" s="196"/>
      <c r="B34" s="174"/>
      <c r="C34" s="199"/>
      <c r="D34" s="178"/>
      <c r="E34" s="178"/>
      <c r="F34" s="176"/>
      <c r="G34" s="184"/>
      <c r="H34" s="181"/>
      <c r="I34" s="193">
        <f t="shared" si="6"/>
        <v>0</v>
      </c>
      <c r="J34" s="192">
        <f t="shared" si="7"/>
        <v>0</v>
      </c>
      <c r="K34" s="172"/>
      <c r="L34" s="191">
        <f t="shared" si="0"/>
        <v>0</v>
      </c>
      <c r="M34" s="190">
        <f t="shared" si="8"/>
        <v>0</v>
      </c>
      <c r="N34" s="176"/>
      <c r="O34" s="176"/>
      <c r="P34" s="201"/>
      <c r="Q34" s="201"/>
      <c r="R34" s="309"/>
      <c r="S34" s="309"/>
      <c r="T34" s="1"/>
      <c r="U34" s="1"/>
      <c r="V34" s="1"/>
      <c r="W34" s="1"/>
      <c r="X34" s="1"/>
      <c r="Y34" s="1"/>
      <c r="Z34" s="1"/>
      <c r="AA34" s="1"/>
      <c r="AB34" s="1"/>
      <c r="AC34" s="1"/>
      <c r="AD34" s="1"/>
      <c r="AE34" s="1"/>
      <c r="AF34" s="1"/>
      <c r="AG34" s="1"/>
      <c r="AH34" s="1"/>
      <c r="AI34" s="1"/>
      <c r="AJ34" s="106"/>
      <c r="AK34" s="1"/>
      <c r="AL34" s="1"/>
      <c r="AM34" s="27"/>
    </row>
    <row r="35" spans="1:39" ht="15.75" thickBot="1" x14ac:dyDescent="0.3">
      <c r="A35" s="196"/>
      <c r="B35" s="174"/>
      <c r="C35" s="199"/>
      <c r="D35" s="178"/>
      <c r="E35" s="178"/>
      <c r="F35" s="176"/>
      <c r="G35" s="184"/>
      <c r="H35" s="306"/>
      <c r="I35" s="194">
        <f t="shared" si="6"/>
        <v>0</v>
      </c>
      <c r="J35" s="192">
        <f t="shared" si="7"/>
        <v>0</v>
      </c>
      <c r="K35" s="172"/>
      <c r="L35" s="191">
        <f t="shared" si="0"/>
        <v>0</v>
      </c>
      <c r="M35" s="190">
        <f t="shared" si="8"/>
        <v>0</v>
      </c>
      <c r="N35" s="176"/>
      <c r="O35" s="176"/>
      <c r="P35" s="201"/>
      <c r="Q35" s="201"/>
      <c r="R35" s="309"/>
      <c r="S35" s="309"/>
      <c r="T35" s="29"/>
      <c r="U35" s="29"/>
      <c r="V35" s="29"/>
      <c r="W35" s="29"/>
      <c r="X35" s="29"/>
      <c r="Y35" s="29"/>
      <c r="Z35" s="29"/>
      <c r="AA35" s="29"/>
      <c r="AB35" s="29"/>
      <c r="AC35" s="29"/>
      <c r="AD35" s="29"/>
      <c r="AE35" s="29"/>
      <c r="AF35" s="29"/>
      <c r="AG35" s="29"/>
      <c r="AH35" s="29"/>
      <c r="AI35" s="29"/>
      <c r="AJ35" s="107"/>
      <c r="AK35" s="29"/>
      <c r="AL35" s="29"/>
      <c r="AM35" s="30"/>
    </row>
    <row r="36" spans="1:39" x14ac:dyDescent="0.25">
      <c r="A36" s="196"/>
      <c r="B36" s="174"/>
      <c r="C36" s="199"/>
      <c r="D36" s="178"/>
      <c r="E36" s="178"/>
      <c r="F36" s="176"/>
      <c r="G36" s="184"/>
      <c r="H36" s="307"/>
      <c r="I36" s="192">
        <f t="shared" si="6"/>
        <v>0</v>
      </c>
      <c r="J36" s="192">
        <f t="shared" si="7"/>
        <v>0</v>
      </c>
      <c r="K36" s="172"/>
      <c r="L36" s="191">
        <f t="shared" si="0"/>
        <v>0</v>
      </c>
      <c r="M36" s="190">
        <f t="shared" si="8"/>
        <v>0</v>
      </c>
      <c r="N36" s="176"/>
      <c r="O36" s="176"/>
      <c r="P36" s="201"/>
      <c r="Q36" s="201"/>
      <c r="R36" s="309"/>
      <c r="S36" s="309"/>
      <c r="AJ36" s="3"/>
    </row>
    <row r="37" spans="1:39" x14ac:dyDescent="0.25">
      <c r="A37" s="196"/>
      <c r="B37" s="174"/>
      <c r="C37" s="199"/>
      <c r="D37" s="178"/>
      <c r="E37" s="178"/>
      <c r="F37" s="176"/>
      <c r="G37" s="184"/>
      <c r="H37" s="181"/>
      <c r="I37" s="193">
        <f t="shared" si="6"/>
        <v>0</v>
      </c>
      <c r="J37" s="192">
        <f t="shared" si="7"/>
        <v>0</v>
      </c>
      <c r="K37" s="172"/>
      <c r="L37" s="191">
        <f t="shared" si="0"/>
        <v>0</v>
      </c>
      <c r="M37" s="190">
        <f t="shared" si="8"/>
        <v>0</v>
      </c>
      <c r="N37" s="176"/>
      <c r="O37" s="176"/>
      <c r="P37" s="201"/>
      <c r="Q37" s="201"/>
      <c r="R37" s="309"/>
      <c r="S37" s="309"/>
      <c r="U37" s="106" t="s">
        <v>444</v>
      </c>
      <c r="V37" s="3" t="s">
        <v>88</v>
      </c>
      <c r="W37" s="3" t="s">
        <v>394</v>
      </c>
      <c r="X37" s="3"/>
      <c r="Y37" s="3" t="s">
        <v>106</v>
      </c>
      <c r="Z37" s="3" t="s">
        <v>4</v>
      </c>
      <c r="AA37" s="3"/>
      <c r="AB37" s="3"/>
      <c r="AC37" s="3"/>
      <c r="AD37" s="3"/>
      <c r="AE37" s="3"/>
      <c r="AF37" s="3"/>
      <c r="AG37" s="3" t="s">
        <v>431</v>
      </c>
      <c r="AI37" s="3"/>
      <c r="AJ37" s="3"/>
    </row>
    <row r="38" spans="1:39" x14ac:dyDescent="0.25">
      <c r="A38" s="196"/>
      <c r="B38" s="174"/>
      <c r="C38" s="199"/>
      <c r="D38" s="178"/>
      <c r="E38" s="178"/>
      <c r="F38" s="176"/>
      <c r="G38" s="184"/>
      <c r="H38" s="181"/>
      <c r="I38" s="193">
        <f t="shared" si="6"/>
        <v>0</v>
      </c>
      <c r="J38" s="192">
        <f t="shared" si="7"/>
        <v>0</v>
      </c>
      <c r="K38" s="172"/>
      <c r="L38" s="191">
        <f t="shared" si="0"/>
        <v>0</v>
      </c>
      <c r="M38" s="190">
        <f t="shared" si="8"/>
        <v>0</v>
      </c>
      <c r="N38" s="176"/>
      <c r="O38" s="176"/>
      <c r="P38" s="201"/>
      <c r="Q38" s="201"/>
      <c r="R38" s="309"/>
      <c r="S38" s="309"/>
      <c r="U38" s="106" t="s">
        <v>445</v>
      </c>
      <c r="V38" s="3" t="s">
        <v>89</v>
      </c>
      <c r="W38" s="3" t="s">
        <v>395</v>
      </c>
      <c r="X38" s="3"/>
      <c r="Y38" s="3" t="s">
        <v>252</v>
      </c>
      <c r="Z38" s="3" t="s">
        <v>5</v>
      </c>
      <c r="AA38" s="3"/>
      <c r="AB38" s="3"/>
      <c r="AC38" s="3"/>
      <c r="AD38" s="3"/>
      <c r="AE38" s="3"/>
      <c r="AF38" s="3"/>
      <c r="AG38" s="3" t="s">
        <v>432</v>
      </c>
      <c r="AI38" s="3"/>
      <c r="AJ38" s="3"/>
    </row>
    <row r="39" spans="1:39" x14ac:dyDescent="0.25">
      <c r="A39" s="196"/>
      <c r="B39" s="174"/>
      <c r="C39" s="199"/>
      <c r="D39" s="178"/>
      <c r="E39" s="178"/>
      <c r="F39" s="176"/>
      <c r="G39" s="184"/>
      <c r="H39" s="181"/>
      <c r="I39" s="193">
        <f t="shared" si="6"/>
        <v>0</v>
      </c>
      <c r="J39" s="192">
        <f t="shared" si="7"/>
        <v>0</v>
      </c>
      <c r="K39" s="172"/>
      <c r="L39" s="191">
        <f t="shared" si="0"/>
        <v>0</v>
      </c>
      <c r="M39" s="190">
        <f t="shared" si="8"/>
        <v>0</v>
      </c>
      <c r="N39" s="176"/>
      <c r="O39" s="176"/>
      <c r="P39" s="201"/>
      <c r="Q39" s="201"/>
      <c r="R39" s="309"/>
      <c r="S39" s="309"/>
      <c r="U39" s="106" t="s">
        <v>446</v>
      </c>
      <c r="V39" s="3" t="s">
        <v>90</v>
      </c>
      <c r="W39" s="3" t="s">
        <v>399</v>
      </c>
      <c r="Y39" s="3" t="s">
        <v>0</v>
      </c>
      <c r="Z39" s="3" t="s">
        <v>6</v>
      </c>
      <c r="AA39" s="3"/>
      <c r="AB39" s="3"/>
      <c r="AC39" s="3"/>
      <c r="AD39" s="3"/>
      <c r="AE39" s="3"/>
      <c r="AF39" s="3"/>
      <c r="AG39" s="3" t="s">
        <v>402</v>
      </c>
      <c r="AI39" s="3"/>
      <c r="AJ39" s="3"/>
    </row>
    <row r="40" spans="1:39" x14ac:dyDescent="0.25">
      <c r="A40" s="196"/>
      <c r="B40" s="174"/>
      <c r="C40" s="199"/>
      <c r="D40" s="178"/>
      <c r="E40" s="178"/>
      <c r="F40" s="176"/>
      <c r="G40" s="184"/>
      <c r="H40" s="181"/>
      <c r="I40" s="193">
        <f t="shared" si="6"/>
        <v>0</v>
      </c>
      <c r="J40" s="192">
        <f t="shared" si="7"/>
        <v>0</v>
      </c>
      <c r="K40" s="172"/>
      <c r="L40" s="191">
        <f t="shared" si="0"/>
        <v>0</v>
      </c>
      <c r="M40" s="190">
        <f t="shared" si="8"/>
        <v>0</v>
      </c>
      <c r="N40" s="176"/>
      <c r="O40" s="176"/>
      <c r="P40" s="201"/>
      <c r="Q40" s="201"/>
      <c r="R40" s="309"/>
      <c r="S40" s="309"/>
      <c r="U40" s="106" t="s">
        <v>290</v>
      </c>
      <c r="V40" s="3" t="s">
        <v>91</v>
      </c>
      <c r="Y40" s="3"/>
      <c r="Z40" s="3" t="s">
        <v>63</v>
      </c>
      <c r="AA40" s="3"/>
      <c r="AB40" s="3"/>
      <c r="AC40" s="3"/>
      <c r="AD40" s="3"/>
      <c r="AE40" s="3"/>
      <c r="AF40" s="3"/>
      <c r="AG40" s="3" t="s">
        <v>403</v>
      </c>
      <c r="AI40" s="3"/>
      <c r="AJ40" s="3"/>
    </row>
    <row r="41" spans="1:39" x14ac:dyDescent="0.25">
      <c r="A41" s="196"/>
      <c r="B41" s="174"/>
      <c r="C41" s="199"/>
      <c r="D41" s="178"/>
      <c r="E41" s="178"/>
      <c r="F41" s="176"/>
      <c r="G41" s="184"/>
      <c r="H41" s="181"/>
      <c r="I41" s="193">
        <f t="shared" si="6"/>
        <v>0</v>
      </c>
      <c r="J41" s="192">
        <f t="shared" si="7"/>
        <v>0</v>
      </c>
      <c r="K41" s="172"/>
      <c r="L41" s="191">
        <f t="shared" si="0"/>
        <v>0</v>
      </c>
      <c r="M41" s="190">
        <f t="shared" si="8"/>
        <v>0</v>
      </c>
      <c r="N41" s="176"/>
      <c r="O41" s="176"/>
      <c r="P41" s="201"/>
      <c r="Q41" s="201"/>
      <c r="R41" s="309"/>
      <c r="S41" s="309"/>
      <c r="U41" s="106" t="s">
        <v>447</v>
      </c>
      <c r="V41" s="3" t="s">
        <v>99</v>
      </c>
      <c r="Y41" s="3"/>
      <c r="Z41" s="3" t="s">
        <v>7</v>
      </c>
      <c r="AA41" s="3"/>
      <c r="AB41" s="3"/>
      <c r="AC41" s="3"/>
      <c r="AD41" s="3"/>
      <c r="AE41" s="3"/>
      <c r="AF41" s="3"/>
      <c r="AG41" s="3" t="s">
        <v>404</v>
      </c>
      <c r="AI41" s="3"/>
      <c r="AJ41" s="3"/>
    </row>
    <row r="42" spans="1:39" x14ac:dyDescent="0.25">
      <c r="A42" s="196"/>
      <c r="B42" s="174"/>
      <c r="C42" s="199"/>
      <c r="D42" s="178"/>
      <c r="E42" s="178"/>
      <c r="F42" s="176"/>
      <c r="G42" s="184"/>
      <c r="H42" s="181"/>
      <c r="I42" s="193">
        <f t="shared" si="6"/>
        <v>0</v>
      </c>
      <c r="J42" s="192">
        <f t="shared" si="7"/>
        <v>0</v>
      </c>
      <c r="K42" s="172"/>
      <c r="L42" s="191">
        <f t="shared" si="0"/>
        <v>0</v>
      </c>
      <c r="M42" s="190">
        <f t="shared" si="8"/>
        <v>0</v>
      </c>
      <c r="N42" s="176"/>
      <c r="O42" s="176"/>
      <c r="P42" s="201"/>
      <c r="Q42" s="201"/>
      <c r="R42" s="309"/>
      <c r="S42" s="309"/>
      <c r="U42" s="106" t="s">
        <v>448</v>
      </c>
      <c r="V42" s="3" t="s">
        <v>92</v>
      </c>
      <c r="Y42" s="3"/>
      <c r="Z42" s="3" t="s">
        <v>10</v>
      </c>
      <c r="AA42" s="3"/>
      <c r="AB42" s="3"/>
      <c r="AC42" s="3"/>
      <c r="AD42" s="3"/>
      <c r="AE42" s="3"/>
      <c r="AF42" s="3"/>
      <c r="AG42" s="3" t="s">
        <v>405</v>
      </c>
      <c r="AI42" s="3"/>
      <c r="AJ42" s="3"/>
    </row>
    <row r="43" spans="1:39" x14ac:dyDescent="0.25">
      <c r="A43" s="196"/>
      <c r="B43" s="174"/>
      <c r="C43" s="199"/>
      <c r="D43" s="178"/>
      <c r="E43" s="178"/>
      <c r="F43" s="176"/>
      <c r="G43" s="184"/>
      <c r="H43" s="181"/>
      <c r="I43" s="193">
        <f t="shared" si="6"/>
        <v>0</v>
      </c>
      <c r="J43" s="192">
        <f t="shared" si="7"/>
        <v>0</v>
      </c>
      <c r="K43" s="172"/>
      <c r="L43" s="191">
        <f t="shared" si="0"/>
        <v>0</v>
      </c>
      <c r="M43" s="190">
        <f t="shared" si="8"/>
        <v>0</v>
      </c>
      <c r="N43" s="176"/>
      <c r="O43" s="176"/>
      <c r="P43" s="201"/>
      <c r="Q43" s="201"/>
      <c r="R43" s="309"/>
      <c r="S43" s="309"/>
      <c r="U43" s="106"/>
      <c r="V43" s="3" t="s">
        <v>93</v>
      </c>
      <c r="Y43" s="3"/>
      <c r="Z43" s="3" t="s">
        <v>11</v>
      </c>
      <c r="AA43" s="3"/>
      <c r="AB43" s="3"/>
      <c r="AC43" s="3"/>
      <c r="AD43" s="3"/>
      <c r="AE43" s="3"/>
      <c r="AF43" s="3"/>
      <c r="AG43" s="3" t="s">
        <v>221</v>
      </c>
      <c r="AI43" s="3"/>
      <c r="AJ43" s="3"/>
    </row>
    <row r="44" spans="1:39" x14ac:dyDescent="0.25">
      <c r="A44" s="196"/>
      <c r="B44" s="174"/>
      <c r="C44" s="199"/>
      <c r="D44" s="178"/>
      <c r="E44" s="178"/>
      <c r="F44" s="176"/>
      <c r="G44" s="184"/>
      <c r="H44" s="181"/>
      <c r="I44" s="193">
        <f t="shared" si="6"/>
        <v>0</v>
      </c>
      <c r="J44" s="192">
        <f t="shared" si="7"/>
        <v>0</v>
      </c>
      <c r="K44" s="172"/>
      <c r="L44" s="191">
        <f t="shared" si="0"/>
        <v>0</v>
      </c>
      <c r="M44" s="190">
        <f t="shared" si="8"/>
        <v>0</v>
      </c>
      <c r="N44" s="176"/>
      <c r="O44" s="176"/>
      <c r="P44" s="201"/>
      <c r="Q44" s="201"/>
      <c r="R44" s="309"/>
      <c r="S44" s="309"/>
      <c r="U44" s="106" t="s">
        <v>449</v>
      </c>
      <c r="V44" s="3" t="s">
        <v>94</v>
      </c>
      <c r="Y44" s="3"/>
      <c r="Z44" s="3" t="s">
        <v>12</v>
      </c>
      <c r="AA44" s="3"/>
      <c r="AB44" s="3"/>
      <c r="AC44" s="3"/>
      <c r="AD44" s="3"/>
      <c r="AE44" s="3"/>
      <c r="AF44" s="3"/>
      <c r="AG44" s="3" t="s">
        <v>222</v>
      </c>
      <c r="AI44" s="3"/>
      <c r="AJ44" s="3"/>
    </row>
    <row r="45" spans="1:39" x14ac:dyDescent="0.25">
      <c r="A45" s="196"/>
      <c r="B45" s="174"/>
      <c r="C45" s="199"/>
      <c r="D45" s="178"/>
      <c r="E45" s="178"/>
      <c r="F45" s="176"/>
      <c r="G45" s="184"/>
      <c r="H45" s="181"/>
      <c r="I45" s="193">
        <f t="shared" si="6"/>
        <v>0</v>
      </c>
      <c r="J45" s="192">
        <f t="shared" si="7"/>
        <v>0</v>
      </c>
      <c r="K45" s="172"/>
      <c r="L45" s="191">
        <f t="shared" si="0"/>
        <v>0</v>
      </c>
      <c r="M45" s="190">
        <f t="shared" si="8"/>
        <v>0</v>
      </c>
      <c r="N45" s="176"/>
      <c r="O45" s="176"/>
      <c r="P45" s="201"/>
      <c r="Q45" s="201"/>
      <c r="R45" s="309"/>
      <c r="S45" s="309"/>
      <c r="U45" s="106" t="s">
        <v>450</v>
      </c>
      <c r="V45" s="3" t="s">
        <v>95</v>
      </c>
      <c r="Y45" s="3"/>
      <c r="Z45" s="3" t="s">
        <v>64</v>
      </c>
      <c r="AA45" s="3"/>
      <c r="AB45" s="3"/>
      <c r="AC45" s="3"/>
      <c r="AD45" s="3"/>
      <c r="AE45" s="3"/>
      <c r="AF45" s="3"/>
      <c r="AG45" s="3" t="s">
        <v>163</v>
      </c>
      <c r="AI45" s="3"/>
      <c r="AJ45" s="3"/>
    </row>
    <row r="46" spans="1:39" x14ac:dyDescent="0.25">
      <c r="A46" s="196"/>
      <c r="B46" s="174"/>
      <c r="C46" s="199"/>
      <c r="D46" s="178"/>
      <c r="E46" s="178"/>
      <c r="F46" s="176"/>
      <c r="G46" s="184"/>
      <c r="H46" s="181"/>
      <c r="I46" s="193">
        <f t="shared" si="6"/>
        <v>0</v>
      </c>
      <c r="J46" s="192">
        <f t="shared" si="7"/>
        <v>0</v>
      </c>
      <c r="K46" s="172"/>
      <c r="L46" s="191">
        <f t="shared" si="0"/>
        <v>0</v>
      </c>
      <c r="M46" s="190">
        <f t="shared" si="8"/>
        <v>0</v>
      </c>
      <c r="N46" s="176"/>
      <c r="O46" s="176"/>
      <c r="P46" s="201"/>
      <c r="Q46" s="201"/>
      <c r="R46" s="309"/>
      <c r="S46" s="309"/>
      <c r="U46" s="106" t="s">
        <v>451</v>
      </c>
      <c r="V46" s="3" t="s">
        <v>96</v>
      </c>
      <c r="Y46" s="3"/>
      <c r="Z46" s="3" t="s">
        <v>65</v>
      </c>
      <c r="AA46" s="3"/>
      <c r="AB46" s="3"/>
      <c r="AC46" s="3"/>
      <c r="AD46" s="3"/>
      <c r="AE46" s="3"/>
      <c r="AF46" s="3"/>
      <c r="AG46" s="3" t="s">
        <v>164</v>
      </c>
      <c r="AI46" s="3"/>
      <c r="AJ46" s="3"/>
    </row>
    <row r="47" spans="1:39" x14ac:dyDescent="0.25">
      <c r="A47" s="196"/>
      <c r="B47" s="174"/>
      <c r="C47" s="199"/>
      <c r="D47" s="178"/>
      <c r="E47" s="178"/>
      <c r="F47" s="176"/>
      <c r="G47" s="184"/>
      <c r="H47" s="181"/>
      <c r="I47" s="193">
        <f t="shared" si="6"/>
        <v>0</v>
      </c>
      <c r="J47" s="192">
        <f t="shared" si="7"/>
        <v>0</v>
      </c>
      <c r="K47" s="172"/>
      <c r="L47" s="191">
        <f t="shared" si="0"/>
        <v>0</v>
      </c>
      <c r="M47" s="190">
        <f t="shared" si="8"/>
        <v>0</v>
      </c>
      <c r="N47" s="176"/>
      <c r="O47" s="176"/>
      <c r="P47" s="201"/>
      <c r="Q47" s="201"/>
      <c r="R47" s="309"/>
      <c r="S47" s="309"/>
      <c r="U47" s="106" t="s">
        <v>452</v>
      </c>
      <c r="V47" s="3" t="s">
        <v>97</v>
      </c>
      <c r="Y47" s="3"/>
      <c r="Z47" s="3" t="s">
        <v>14</v>
      </c>
      <c r="AA47" s="3"/>
      <c r="AB47" s="3"/>
      <c r="AC47" s="3"/>
      <c r="AD47" s="3"/>
      <c r="AE47" s="3"/>
      <c r="AF47" s="3"/>
      <c r="AG47" s="3" t="s">
        <v>107</v>
      </c>
      <c r="AI47" s="3"/>
      <c r="AJ47" s="3"/>
    </row>
    <row r="48" spans="1:39" x14ac:dyDescent="0.25">
      <c r="A48" s="196"/>
      <c r="B48" s="174"/>
      <c r="C48" s="199"/>
      <c r="D48" s="178"/>
      <c r="E48" s="178"/>
      <c r="F48" s="176"/>
      <c r="G48" s="184"/>
      <c r="H48" s="181"/>
      <c r="I48" s="193">
        <f t="shared" si="6"/>
        <v>0</v>
      </c>
      <c r="J48" s="192">
        <f t="shared" si="7"/>
        <v>0</v>
      </c>
      <c r="K48" s="172"/>
      <c r="L48" s="191">
        <f t="shared" si="0"/>
        <v>0</v>
      </c>
      <c r="M48" s="190">
        <f t="shared" si="8"/>
        <v>0</v>
      </c>
      <c r="N48" s="176"/>
      <c r="O48" s="176"/>
      <c r="P48" s="201"/>
      <c r="Q48" s="201"/>
      <c r="R48" s="309"/>
      <c r="S48" s="309"/>
      <c r="U48" s="106" t="s">
        <v>453</v>
      </c>
      <c r="V48" s="3" t="s">
        <v>98</v>
      </c>
      <c r="Y48" s="3"/>
      <c r="Z48" s="3" t="s">
        <v>66</v>
      </c>
      <c r="AA48" s="3"/>
      <c r="AB48" s="3"/>
      <c r="AC48" s="3"/>
      <c r="AD48" s="3"/>
      <c r="AE48" s="3"/>
      <c r="AF48" s="3"/>
      <c r="AG48" s="3" t="s">
        <v>108</v>
      </c>
      <c r="AI48" s="3"/>
      <c r="AJ48" s="3"/>
    </row>
    <row r="49" spans="1:36" x14ac:dyDescent="0.25">
      <c r="A49" s="196"/>
      <c r="B49" s="174"/>
      <c r="C49" s="199"/>
      <c r="D49" s="178"/>
      <c r="E49" s="178"/>
      <c r="F49" s="176"/>
      <c r="G49" s="184"/>
      <c r="H49" s="181"/>
      <c r="I49" s="193">
        <f t="shared" si="6"/>
        <v>0</v>
      </c>
      <c r="J49" s="192">
        <f t="shared" si="7"/>
        <v>0</v>
      </c>
      <c r="K49" s="172"/>
      <c r="L49" s="191">
        <f t="shared" si="0"/>
        <v>0</v>
      </c>
      <c r="M49" s="190">
        <f t="shared" si="8"/>
        <v>0</v>
      </c>
      <c r="N49" s="176"/>
      <c r="O49" s="176"/>
      <c r="P49" s="201"/>
      <c r="Q49" s="201"/>
      <c r="R49" s="309"/>
      <c r="S49" s="309"/>
      <c r="U49" s="106" t="s">
        <v>454</v>
      </c>
      <c r="V49" s="3" t="s">
        <v>100</v>
      </c>
      <c r="Y49" s="3"/>
      <c r="Z49" s="3" t="s">
        <v>16</v>
      </c>
      <c r="AA49" s="3"/>
      <c r="AB49" s="3"/>
      <c r="AC49" s="3"/>
      <c r="AD49" s="3"/>
      <c r="AE49" s="3"/>
      <c r="AF49" s="3"/>
      <c r="AG49" s="3" t="s">
        <v>110</v>
      </c>
      <c r="AI49" s="3"/>
      <c r="AJ49" s="3"/>
    </row>
    <row r="50" spans="1:36" x14ac:dyDescent="0.25">
      <c r="A50" s="196"/>
      <c r="B50" s="174"/>
      <c r="C50" s="199"/>
      <c r="D50" s="178"/>
      <c r="E50" s="178"/>
      <c r="F50" s="176"/>
      <c r="G50" s="184"/>
      <c r="H50" s="181"/>
      <c r="I50" s="193">
        <f t="shared" si="6"/>
        <v>0</v>
      </c>
      <c r="J50" s="192">
        <f t="shared" si="7"/>
        <v>0</v>
      </c>
      <c r="K50" s="172"/>
      <c r="L50" s="191">
        <f t="shared" si="0"/>
        <v>0</v>
      </c>
      <c r="M50" s="190">
        <f t="shared" si="8"/>
        <v>0</v>
      </c>
      <c r="N50" s="176"/>
      <c r="O50" s="176"/>
      <c r="P50" s="201"/>
      <c r="Q50" s="201"/>
      <c r="R50" s="309"/>
      <c r="S50" s="309"/>
      <c r="U50" s="106"/>
      <c r="V50" s="3" t="s">
        <v>112</v>
      </c>
      <c r="Y50" s="3"/>
      <c r="Z50" s="3" t="s">
        <v>17</v>
      </c>
      <c r="AA50" s="3"/>
      <c r="AB50" s="3"/>
      <c r="AC50" s="3"/>
      <c r="AD50" s="3"/>
      <c r="AE50" s="3"/>
      <c r="AF50" s="3"/>
      <c r="AG50" s="3" t="s">
        <v>109</v>
      </c>
      <c r="AI50" s="3"/>
      <c r="AJ50" s="3"/>
    </row>
    <row r="51" spans="1:36" x14ac:dyDescent="0.25">
      <c r="A51" s="196"/>
      <c r="B51" s="174"/>
      <c r="C51" s="199"/>
      <c r="D51" s="178"/>
      <c r="E51" s="178"/>
      <c r="F51" s="176"/>
      <c r="G51" s="184"/>
      <c r="H51" s="181"/>
      <c r="I51" s="193">
        <f t="shared" si="6"/>
        <v>0</v>
      </c>
      <c r="J51" s="192">
        <f t="shared" si="7"/>
        <v>0</v>
      </c>
      <c r="K51" s="172"/>
      <c r="L51" s="191">
        <f t="shared" si="0"/>
        <v>0</v>
      </c>
      <c r="M51" s="190">
        <f t="shared" si="8"/>
        <v>0</v>
      </c>
      <c r="N51" s="176"/>
      <c r="O51" s="176"/>
      <c r="P51" s="201"/>
      <c r="Q51" s="201"/>
      <c r="R51" s="309"/>
      <c r="S51" s="309"/>
      <c r="U51" s="106" t="s">
        <v>455</v>
      </c>
      <c r="V51" s="3" t="s">
        <v>101</v>
      </c>
      <c r="Y51" s="3"/>
      <c r="Z51" s="3" t="s">
        <v>18</v>
      </c>
      <c r="AA51" s="3"/>
      <c r="AB51" s="3"/>
      <c r="AC51" s="3"/>
      <c r="AD51" s="3"/>
      <c r="AE51" s="3"/>
      <c r="AF51" s="3"/>
      <c r="AI51" s="3"/>
      <c r="AJ51" s="3"/>
    </row>
    <row r="52" spans="1:36" x14ac:dyDescent="0.25">
      <c r="A52" s="196"/>
      <c r="B52" s="174"/>
      <c r="C52" s="199"/>
      <c r="D52" s="178"/>
      <c r="E52" s="178"/>
      <c r="F52" s="176"/>
      <c r="G52" s="184"/>
      <c r="H52" s="181"/>
      <c r="I52" s="193">
        <f t="shared" si="6"/>
        <v>0</v>
      </c>
      <c r="J52" s="192">
        <f t="shared" si="7"/>
        <v>0</v>
      </c>
      <c r="K52" s="172"/>
      <c r="L52" s="191">
        <f t="shared" si="0"/>
        <v>0</v>
      </c>
      <c r="M52" s="190">
        <f t="shared" si="8"/>
        <v>0</v>
      </c>
      <c r="N52" s="176"/>
      <c r="O52" s="176"/>
      <c r="P52" s="201"/>
      <c r="Q52" s="201"/>
      <c r="R52" s="309"/>
      <c r="S52" s="309"/>
      <c r="U52" s="106" t="s">
        <v>456</v>
      </c>
      <c r="V52" s="3" t="s">
        <v>102</v>
      </c>
      <c r="Y52" s="3"/>
      <c r="Z52" s="3" t="s">
        <v>19</v>
      </c>
      <c r="AA52" s="3"/>
      <c r="AB52" s="3"/>
      <c r="AC52" s="3"/>
      <c r="AD52" s="3"/>
      <c r="AE52" s="3"/>
      <c r="AF52" s="3"/>
      <c r="AI52" s="3"/>
      <c r="AJ52" s="3"/>
    </row>
    <row r="53" spans="1:36" x14ac:dyDescent="0.25">
      <c r="A53" s="196"/>
      <c r="B53" s="174"/>
      <c r="C53" s="199"/>
      <c r="D53" s="178"/>
      <c r="E53" s="178"/>
      <c r="F53" s="176"/>
      <c r="G53" s="184"/>
      <c r="H53" s="181"/>
      <c r="I53" s="193">
        <f t="shared" si="6"/>
        <v>0</v>
      </c>
      <c r="J53" s="192">
        <f t="shared" si="7"/>
        <v>0</v>
      </c>
      <c r="K53" s="172"/>
      <c r="L53" s="191">
        <f t="shared" si="0"/>
        <v>0</v>
      </c>
      <c r="M53" s="190">
        <f t="shared" si="8"/>
        <v>0</v>
      </c>
      <c r="N53" s="176"/>
      <c r="O53" s="176"/>
      <c r="P53" s="201"/>
      <c r="Q53" s="201"/>
      <c r="R53" s="309"/>
      <c r="S53" s="309"/>
      <c r="U53" s="106"/>
      <c r="V53" s="3" t="s">
        <v>103</v>
      </c>
      <c r="Y53" s="3"/>
      <c r="Z53" s="3" t="s">
        <v>20</v>
      </c>
      <c r="AA53" s="3"/>
      <c r="AB53" s="3"/>
      <c r="AC53" s="3"/>
      <c r="AD53" s="3"/>
      <c r="AE53" s="3"/>
      <c r="AF53" s="3"/>
      <c r="AI53" s="3"/>
      <c r="AJ53" s="3"/>
    </row>
    <row r="54" spans="1:36" x14ac:dyDescent="0.25">
      <c r="A54" s="196"/>
      <c r="B54" s="174"/>
      <c r="C54" s="199"/>
      <c r="D54" s="178"/>
      <c r="E54" s="178"/>
      <c r="F54" s="176"/>
      <c r="G54" s="184"/>
      <c r="H54" s="181"/>
      <c r="I54" s="193">
        <f t="shared" si="6"/>
        <v>0</v>
      </c>
      <c r="J54" s="192">
        <f t="shared" si="7"/>
        <v>0</v>
      </c>
      <c r="K54" s="172"/>
      <c r="L54" s="191">
        <f t="shared" si="0"/>
        <v>0</v>
      </c>
      <c r="M54" s="190">
        <f t="shared" si="8"/>
        <v>0</v>
      </c>
      <c r="N54" s="176"/>
      <c r="O54" s="176"/>
      <c r="P54" s="201"/>
      <c r="Q54" s="201"/>
      <c r="R54" s="309"/>
      <c r="S54" s="309"/>
      <c r="U54" s="106"/>
      <c r="V54" s="3" t="s">
        <v>104</v>
      </c>
      <c r="Y54" s="3"/>
      <c r="Z54" s="3" t="s">
        <v>21</v>
      </c>
      <c r="AA54" s="3"/>
      <c r="AB54" s="3"/>
      <c r="AC54" s="3"/>
      <c r="AD54" s="3"/>
      <c r="AE54" s="3"/>
      <c r="AF54" s="3"/>
      <c r="AI54" s="3"/>
      <c r="AJ54" s="3"/>
    </row>
    <row r="55" spans="1:36" x14ac:dyDescent="0.25">
      <c r="A55" s="196"/>
      <c r="B55" s="174"/>
      <c r="C55" s="199"/>
      <c r="D55" s="178"/>
      <c r="E55" s="178"/>
      <c r="F55" s="176"/>
      <c r="G55" s="184"/>
      <c r="H55" s="181"/>
      <c r="I55" s="193">
        <f t="shared" si="6"/>
        <v>0</v>
      </c>
      <c r="J55" s="192">
        <f t="shared" si="7"/>
        <v>0</v>
      </c>
      <c r="K55" s="172"/>
      <c r="L55" s="191">
        <f t="shared" si="0"/>
        <v>0</v>
      </c>
      <c r="M55" s="190">
        <f t="shared" si="8"/>
        <v>0</v>
      </c>
      <c r="N55" s="176"/>
      <c r="O55" s="176"/>
      <c r="P55" s="201"/>
      <c r="Q55" s="201"/>
      <c r="R55" s="309"/>
      <c r="S55" s="309"/>
      <c r="U55" s="106"/>
      <c r="V55" s="3" t="s">
        <v>105</v>
      </c>
      <c r="Y55" s="3"/>
      <c r="Z55" s="3" t="s">
        <v>22</v>
      </c>
      <c r="AA55" s="3"/>
      <c r="AB55" s="3"/>
      <c r="AC55" s="3"/>
      <c r="AD55" s="3"/>
      <c r="AE55" s="3"/>
      <c r="AF55" s="3"/>
      <c r="AG55" s="3"/>
      <c r="AI55" s="3"/>
      <c r="AJ55" s="3"/>
    </row>
    <row r="56" spans="1:36" x14ac:dyDescent="0.25">
      <c r="A56" s="196"/>
      <c r="B56" s="174"/>
      <c r="C56" s="199"/>
      <c r="D56" s="178"/>
      <c r="E56" s="178"/>
      <c r="F56" s="176"/>
      <c r="G56" s="184"/>
      <c r="H56" s="181"/>
      <c r="I56" s="193">
        <f t="shared" si="6"/>
        <v>0</v>
      </c>
      <c r="J56" s="192">
        <f t="shared" si="7"/>
        <v>0</v>
      </c>
      <c r="K56" s="172"/>
      <c r="L56" s="191">
        <f t="shared" si="0"/>
        <v>0</v>
      </c>
      <c r="M56" s="190">
        <f t="shared" si="8"/>
        <v>0</v>
      </c>
      <c r="N56" s="176"/>
      <c r="O56" s="176"/>
      <c r="P56" s="201"/>
      <c r="Q56" s="201"/>
      <c r="R56" s="309"/>
      <c r="S56" s="309"/>
      <c r="U56" s="106"/>
      <c r="V56" s="3" t="s">
        <v>292</v>
      </c>
      <c r="Y56" s="3"/>
      <c r="Z56" s="3" t="s">
        <v>67</v>
      </c>
      <c r="AA56" s="3"/>
      <c r="AB56" s="3"/>
      <c r="AC56" s="3"/>
      <c r="AD56" s="3"/>
      <c r="AE56" s="3"/>
      <c r="AF56" s="3"/>
      <c r="AG56" s="3"/>
      <c r="AI56" s="3"/>
      <c r="AJ56" s="3"/>
    </row>
    <row r="57" spans="1:36" x14ac:dyDescent="0.25">
      <c r="A57" s="196"/>
      <c r="B57" s="174"/>
      <c r="C57" s="199"/>
      <c r="D57" s="178"/>
      <c r="E57" s="178"/>
      <c r="F57" s="176"/>
      <c r="G57" s="184"/>
      <c r="H57" s="181"/>
      <c r="I57" s="193">
        <f t="shared" si="6"/>
        <v>0</v>
      </c>
      <c r="J57" s="192">
        <f t="shared" si="7"/>
        <v>0</v>
      </c>
      <c r="K57" s="172"/>
      <c r="L57" s="191">
        <f t="shared" si="0"/>
        <v>0</v>
      </c>
      <c r="M57" s="190">
        <f t="shared" si="8"/>
        <v>0</v>
      </c>
      <c r="N57" s="176"/>
      <c r="O57" s="176"/>
      <c r="P57" s="201"/>
      <c r="Q57" s="201"/>
      <c r="R57" s="309"/>
      <c r="S57" s="309"/>
      <c r="U57" s="106"/>
      <c r="V57" s="3" t="s">
        <v>293</v>
      </c>
      <c r="Y57" s="3"/>
      <c r="Z57" s="3" t="s">
        <v>68</v>
      </c>
      <c r="AA57" s="3"/>
      <c r="AB57" s="3"/>
      <c r="AC57" s="3"/>
      <c r="AD57" s="3"/>
      <c r="AE57" s="3"/>
      <c r="AF57" s="3"/>
      <c r="AG57" s="3"/>
      <c r="AI57" s="3"/>
      <c r="AJ57" s="3"/>
    </row>
    <row r="58" spans="1:36" x14ac:dyDescent="0.25">
      <c r="A58" s="196"/>
      <c r="B58" s="174"/>
      <c r="C58" s="199"/>
      <c r="D58" s="178"/>
      <c r="E58" s="178"/>
      <c r="F58" s="176"/>
      <c r="G58" s="184"/>
      <c r="H58" s="181"/>
      <c r="I58" s="193">
        <f t="shared" si="6"/>
        <v>0</v>
      </c>
      <c r="J58" s="192">
        <f t="shared" si="7"/>
        <v>0</v>
      </c>
      <c r="K58" s="172"/>
      <c r="L58" s="191">
        <f t="shared" si="0"/>
        <v>0</v>
      </c>
      <c r="M58" s="190">
        <f t="shared" si="8"/>
        <v>0</v>
      </c>
      <c r="N58" s="176"/>
      <c r="O58" s="176"/>
      <c r="P58" s="201"/>
      <c r="Q58" s="201"/>
      <c r="R58" s="309"/>
      <c r="S58" s="309"/>
      <c r="U58" s="106"/>
      <c r="V58" s="3"/>
      <c r="Y58" s="3"/>
      <c r="Z58" s="3" t="s">
        <v>23</v>
      </c>
      <c r="AA58" s="3"/>
      <c r="AB58" s="3"/>
      <c r="AC58" s="3"/>
      <c r="AD58" s="3"/>
      <c r="AE58" s="3"/>
      <c r="AF58" s="3"/>
      <c r="AG58" s="3"/>
      <c r="AI58" s="3"/>
      <c r="AJ58" s="3"/>
    </row>
    <row r="59" spans="1:36" x14ac:dyDescent="0.25">
      <c r="A59" s="196"/>
      <c r="B59" s="174"/>
      <c r="C59" s="199"/>
      <c r="D59" s="178"/>
      <c r="E59" s="178"/>
      <c r="F59" s="176"/>
      <c r="G59" s="184"/>
      <c r="H59" s="181"/>
      <c r="I59" s="193">
        <f t="shared" si="6"/>
        <v>0</v>
      </c>
      <c r="J59" s="192">
        <f t="shared" si="7"/>
        <v>0</v>
      </c>
      <c r="K59" s="172"/>
      <c r="L59" s="191">
        <f t="shared" si="0"/>
        <v>0</v>
      </c>
      <c r="M59" s="190">
        <f t="shared" si="8"/>
        <v>0</v>
      </c>
      <c r="N59" s="176"/>
      <c r="O59" s="176"/>
      <c r="P59" s="201"/>
      <c r="Q59" s="201"/>
      <c r="R59" s="309"/>
      <c r="S59" s="309"/>
      <c r="U59" s="106"/>
      <c r="V59" s="3"/>
      <c r="Y59" s="3"/>
      <c r="Z59" s="3" t="s">
        <v>52</v>
      </c>
      <c r="AA59" s="3"/>
      <c r="AB59" s="3"/>
      <c r="AC59" s="3"/>
      <c r="AD59" s="3"/>
      <c r="AE59" s="3"/>
      <c r="AF59" s="3"/>
      <c r="AG59" s="3"/>
      <c r="AI59" s="3"/>
      <c r="AJ59" s="3"/>
    </row>
    <row r="60" spans="1:36" x14ac:dyDescent="0.25">
      <c r="A60" s="196"/>
      <c r="B60" s="174"/>
      <c r="C60" s="199"/>
      <c r="D60" s="178"/>
      <c r="E60" s="178"/>
      <c r="F60" s="176"/>
      <c r="G60" s="184"/>
      <c r="H60" s="181"/>
      <c r="I60" s="193">
        <f t="shared" si="6"/>
        <v>0</v>
      </c>
      <c r="J60" s="192">
        <f t="shared" si="7"/>
        <v>0</v>
      </c>
      <c r="K60" s="172"/>
      <c r="L60" s="191">
        <f t="shared" si="0"/>
        <v>0</v>
      </c>
      <c r="M60" s="190">
        <f t="shared" si="8"/>
        <v>0</v>
      </c>
      <c r="N60" s="176"/>
      <c r="O60" s="176"/>
      <c r="P60" s="201"/>
      <c r="Q60" s="201"/>
      <c r="R60" s="309"/>
      <c r="S60" s="309"/>
      <c r="U60" s="106"/>
      <c r="V60" s="3"/>
      <c r="Y60" s="3"/>
      <c r="Z60" s="3" t="s">
        <v>51</v>
      </c>
      <c r="AA60" s="3"/>
      <c r="AB60" s="3"/>
      <c r="AC60" s="3"/>
      <c r="AD60" s="3"/>
      <c r="AE60" s="3"/>
      <c r="AF60" s="3"/>
      <c r="AG60" s="3"/>
      <c r="AI60" s="3"/>
      <c r="AJ60" s="3"/>
    </row>
    <row r="61" spans="1:36" x14ac:dyDescent="0.25">
      <c r="A61" s="196"/>
      <c r="B61" s="174"/>
      <c r="C61" s="199"/>
      <c r="D61" s="178"/>
      <c r="E61" s="178"/>
      <c r="F61" s="176"/>
      <c r="G61" s="184"/>
      <c r="H61" s="181"/>
      <c r="I61" s="193">
        <f t="shared" si="6"/>
        <v>0</v>
      </c>
      <c r="J61" s="192">
        <f t="shared" si="7"/>
        <v>0</v>
      </c>
      <c r="K61" s="172"/>
      <c r="L61" s="191">
        <f t="shared" si="0"/>
        <v>0</v>
      </c>
      <c r="M61" s="190">
        <f t="shared" si="8"/>
        <v>0</v>
      </c>
      <c r="N61" s="176"/>
      <c r="O61" s="176"/>
      <c r="P61" s="201"/>
      <c r="Q61" s="201"/>
      <c r="R61" s="309"/>
      <c r="S61" s="309"/>
      <c r="U61" s="106"/>
      <c r="V61" s="3"/>
      <c r="Y61" s="3"/>
      <c r="Z61" s="3" t="s">
        <v>53</v>
      </c>
      <c r="AA61" s="3"/>
      <c r="AB61" s="3"/>
      <c r="AC61" s="3"/>
      <c r="AD61" s="3"/>
      <c r="AE61" s="3"/>
      <c r="AF61" s="3"/>
      <c r="AG61" s="3"/>
      <c r="AI61" s="3"/>
      <c r="AJ61" s="3"/>
    </row>
    <row r="62" spans="1:36" x14ac:dyDescent="0.25">
      <c r="A62" s="196"/>
      <c r="B62" s="174"/>
      <c r="C62" s="199"/>
      <c r="D62" s="178"/>
      <c r="E62" s="178"/>
      <c r="F62" s="176"/>
      <c r="G62" s="184"/>
      <c r="H62" s="181"/>
      <c r="I62" s="193">
        <f t="shared" si="6"/>
        <v>0</v>
      </c>
      <c r="J62" s="192">
        <f t="shared" si="7"/>
        <v>0</v>
      </c>
      <c r="K62" s="172"/>
      <c r="L62" s="191">
        <f t="shared" si="0"/>
        <v>0</v>
      </c>
      <c r="M62" s="190">
        <f t="shared" si="8"/>
        <v>0</v>
      </c>
      <c r="N62" s="176"/>
      <c r="O62" s="176"/>
      <c r="P62" s="201"/>
      <c r="Q62" s="201"/>
      <c r="R62" s="309"/>
      <c r="S62" s="309"/>
      <c r="U62" s="106"/>
      <c r="V62" s="3"/>
      <c r="Y62" s="3"/>
      <c r="Z62" s="3" t="s">
        <v>54</v>
      </c>
      <c r="AA62" s="3"/>
      <c r="AB62" s="3"/>
      <c r="AC62" s="3"/>
      <c r="AD62" s="3"/>
      <c r="AE62" s="3"/>
      <c r="AF62" s="3"/>
      <c r="AG62" s="3"/>
      <c r="AI62" s="3"/>
      <c r="AJ62" s="3"/>
    </row>
    <row r="63" spans="1:36" x14ac:dyDescent="0.25">
      <c r="A63" s="196"/>
      <c r="B63" s="174"/>
      <c r="C63" s="199"/>
      <c r="D63" s="178"/>
      <c r="E63" s="178"/>
      <c r="F63" s="176"/>
      <c r="G63" s="184"/>
      <c r="H63" s="181"/>
      <c r="I63" s="193">
        <f t="shared" si="6"/>
        <v>0</v>
      </c>
      <c r="J63" s="192">
        <f t="shared" si="7"/>
        <v>0</v>
      </c>
      <c r="K63" s="172"/>
      <c r="L63" s="191">
        <f t="shared" si="0"/>
        <v>0</v>
      </c>
      <c r="M63" s="190">
        <f t="shared" si="8"/>
        <v>0</v>
      </c>
      <c r="N63" s="176"/>
      <c r="O63" s="176"/>
      <c r="P63" s="201"/>
      <c r="Q63" s="201"/>
      <c r="R63" s="309"/>
      <c r="S63" s="309"/>
      <c r="U63" s="106"/>
      <c r="V63" s="3"/>
      <c r="Y63" s="3"/>
      <c r="Z63" s="3" t="s">
        <v>55</v>
      </c>
      <c r="AA63" s="3"/>
      <c r="AB63" s="3"/>
      <c r="AC63" s="3"/>
      <c r="AD63" s="3"/>
      <c r="AE63" s="3"/>
      <c r="AF63" s="3"/>
      <c r="AG63" s="3"/>
      <c r="AI63" s="3"/>
      <c r="AJ63" s="3"/>
    </row>
    <row r="64" spans="1:36" x14ac:dyDescent="0.25">
      <c r="A64" s="196"/>
      <c r="B64" s="174"/>
      <c r="C64" s="199"/>
      <c r="D64" s="178"/>
      <c r="E64" s="178"/>
      <c r="F64" s="176"/>
      <c r="G64" s="184"/>
      <c r="H64" s="181"/>
      <c r="I64" s="193">
        <f t="shared" si="6"/>
        <v>0</v>
      </c>
      <c r="J64" s="192">
        <f t="shared" si="7"/>
        <v>0</v>
      </c>
      <c r="K64" s="172"/>
      <c r="L64" s="191">
        <f t="shared" si="0"/>
        <v>0</v>
      </c>
      <c r="M64" s="190">
        <f t="shared" si="8"/>
        <v>0</v>
      </c>
      <c r="N64" s="176"/>
      <c r="O64" s="176"/>
      <c r="P64" s="201"/>
      <c r="Q64" s="201"/>
      <c r="R64" s="309"/>
      <c r="S64" s="309"/>
      <c r="U64" s="106"/>
      <c r="V64" s="3"/>
      <c r="Y64" s="3"/>
      <c r="Z64" s="3" t="s">
        <v>56</v>
      </c>
      <c r="AA64" s="3"/>
      <c r="AB64" s="3"/>
      <c r="AC64" s="3"/>
      <c r="AD64" s="3"/>
      <c r="AE64" s="3"/>
      <c r="AF64" s="3"/>
      <c r="AG64" s="3"/>
      <c r="AI64" s="3"/>
      <c r="AJ64" s="3"/>
    </row>
    <row r="65" spans="1:36" x14ac:dyDescent="0.25">
      <c r="A65" s="196"/>
      <c r="B65" s="174"/>
      <c r="C65" s="199"/>
      <c r="D65" s="178"/>
      <c r="E65" s="178"/>
      <c r="F65" s="176"/>
      <c r="G65" s="184"/>
      <c r="H65" s="181"/>
      <c r="I65" s="193">
        <f t="shared" si="6"/>
        <v>0</v>
      </c>
      <c r="J65" s="192">
        <f t="shared" si="7"/>
        <v>0</v>
      </c>
      <c r="K65" s="172"/>
      <c r="L65" s="191">
        <f t="shared" si="0"/>
        <v>0</v>
      </c>
      <c r="M65" s="190">
        <f t="shared" si="8"/>
        <v>0</v>
      </c>
      <c r="N65" s="176"/>
      <c r="O65" s="176"/>
      <c r="P65" s="201"/>
      <c r="Q65" s="201"/>
      <c r="R65" s="309"/>
      <c r="S65" s="309"/>
      <c r="U65" s="106"/>
      <c r="V65" s="3"/>
      <c r="Y65" s="3"/>
      <c r="Z65" s="3" t="s">
        <v>69</v>
      </c>
      <c r="AA65" s="3"/>
      <c r="AB65" s="3"/>
      <c r="AC65" s="3"/>
      <c r="AD65" s="3"/>
      <c r="AE65" s="3"/>
      <c r="AF65" s="3"/>
      <c r="AG65" s="3"/>
      <c r="AI65" s="3"/>
      <c r="AJ65" s="3"/>
    </row>
    <row r="66" spans="1:36" x14ac:dyDescent="0.25">
      <c r="A66" s="196"/>
      <c r="B66" s="174"/>
      <c r="C66" s="199"/>
      <c r="D66" s="178"/>
      <c r="E66" s="178"/>
      <c r="F66" s="176"/>
      <c r="G66" s="184"/>
      <c r="H66" s="181"/>
      <c r="I66" s="193">
        <f t="shared" si="6"/>
        <v>0</v>
      </c>
      <c r="J66" s="192">
        <f t="shared" si="7"/>
        <v>0</v>
      </c>
      <c r="K66" s="172"/>
      <c r="L66" s="191">
        <f t="shared" si="0"/>
        <v>0</v>
      </c>
      <c r="M66" s="190">
        <f t="shared" si="8"/>
        <v>0</v>
      </c>
      <c r="N66" s="176"/>
      <c r="O66" s="176"/>
      <c r="P66" s="201"/>
      <c r="Q66" s="201"/>
      <c r="R66" s="309"/>
      <c r="S66" s="309"/>
      <c r="U66" s="106"/>
      <c r="V66" s="3"/>
      <c r="Y66" s="3"/>
      <c r="Z66" s="3" t="s">
        <v>70</v>
      </c>
      <c r="AA66" s="3"/>
      <c r="AB66" s="3"/>
      <c r="AC66" s="3"/>
      <c r="AD66" s="3"/>
      <c r="AE66" s="3"/>
      <c r="AF66" s="3"/>
      <c r="AG66" s="3"/>
      <c r="AI66" s="3"/>
      <c r="AJ66" s="3"/>
    </row>
    <row r="67" spans="1:36" x14ac:dyDescent="0.25">
      <c r="A67" s="196"/>
      <c r="B67" s="174"/>
      <c r="C67" s="199"/>
      <c r="D67" s="178"/>
      <c r="E67" s="178"/>
      <c r="F67" s="176"/>
      <c r="G67" s="184"/>
      <c r="H67" s="181"/>
      <c r="I67" s="193">
        <f t="shared" si="6"/>
        <v>0</v>
      </c>
      <c r="J67" s="192">
        <f t="shared" si="7"/>
        <v>0</v>
      </c>
      <c r="K67" s="172"/>
      <c r="L67" s="191">
        <f t="shared" si="0"/>
        <v>0</v>
      </c>
      <c r="M67" s="190">
        <f t="shared" si="8"/>
        <v>0</v>
      </c>
      <c r="N67" s="176"/>
      <c r="O67" s="176"/>
      <c r="P67" s="201"/>
      <c r="Q67" s="201"/>
      <c r="R67" s="309"/>
      <c r="S67" s="309"/>
      <c r="U67" s="106"/>
      <c r="V67" s="3"/>
      <c r="Y67" s="3"/>
      <c r="Z67" s="3" t="s">
        <v>24</v>
      </c>
      <c r="AA67" s="3"/>
      <c r="AB67" s="3"/>
      <c r="AC67" s="3"/>
      <c r="AD67" s="3"/>
      <c r="AE67" s="3"/>
      <c r="AF67" s="3"/>
      <c r="AG67" s="3"/>
      <c r="AI67" s="3"/>
      <c r="AJ67" s="3"/>
    </row>
    <row r="68" spans="1:36" x14ac:dyDescent="0.25">
      <c r="A68" s="196"/>
      <c r="B68" s="174"/>
      <c r="C68" s="199"/>
      <c r="D68" s="178"/>
      <c r="E68" s="178"/>
      <c r="F68" s="176"/>
      <c r="G68" s="184"/>
      <c r="H68" s="181"/>
      <c r="I68" s="193">
        <f t="shared" si="6"/>
        <v>0</v>
      </c>
      <c r="J68" s="192">
        <f t="shared" si="7"/>
        <v>0</v>
      </c>
      <c r="K68" s="172"/>
      <c r="L68" s="191">
        <f t="shared" ref="L68:L131" si="11">K68*I68</f>
        <v>0</v>
      </c>
      <c r="M68" s="190">
        <f t="shared" si="8"/>
        <v>0</v>
      </c>
      <c r="N68" s="176"/>
      <c r="O68" s="176"/>
      <c r="P68" s="201"/>
      <c r="Q68" s="201"/>
      <c r="R68" s="309"/>
      <c r="S68" s="309"/>
      <c r="U68" s="106"/>
      <c r="V68" s="3"/>
      <c r="Y68" s="3"/>
      <c r="Z68" s="3" t="s">
        <v>71</v>
      </c>
      <c r="AA68" s="3"/>
      <c r="AB68" s="3"/>
      <c r="AC68" s="3"/>
      <c r="AD68" s="3"/>
      <c r="AE68" s="3"/>
      <c r="AF68" s="3"/>
      <c r="AG68" s="3"/>
      <c r="AI68" s="3"/>
      <c r="AJ68" s="3"/>
    </row>
    <row r="69" spans="1:36" x14ac:dyDescent="0.25">
      <c r="A69" s="196"/>
      <c r="B69" s="174"/>
      <c r="C69" s="199"/>
      <c r="D69" s="178"/>
      <c r="E69" s="178"/>
      <c r="F69" s="176"/>
      <c r="G69" s="184"/>
      <c r="H69" s="181"/>
      <c r="I69" s="193">
        <f t="shared" ref="I69:I132" si="12">F69*G69</f>
        <v>0</v>
      </c>
      <c r="J69" s="192">
        <f t="shared" si="7"/>
        <v>0</v>
      </c>
      <c r="K69" s="172"/>
      <c r="L69" s="191">
        <f t="shared" si="11"/>
        <v>0</v>
      </c>
      <c r="M69" s="190">
        <f t="shared" si="8"/>
        <v>0</v>
      </c>
      <c r="N69" s="176"/>
      <c r="O69" s="176"/>
      <c r="P69" s="201"/>
      <c r="Q69" s="201"/>
      <c r="R69" s="309"/>
      <c r="S69" s="309"/>
      <c r="U69" s="106"/>
      <c r="V69" s="3"/>
      <c r="Y69" s="3"/>
      <c r="Z69" s="3" t="s">
        <v>72</v>
      </c>
      <c r="AA69" s="3"/>
      <c r="AB69" s="3"/>
      <c r="AC69" s="3"/>
      <c r="AD69" s="3"/>
      <c r="AE69" s="3"/>
      <c r="AF69" s="3"/>
      <c r="AG69" s="3"/>
      <c r="AI69" s="3"/>
      <c r="AJ69" s="3"/>
    </row>
    <row r="70" spans="1:36" x14ac:dyDescent="0.25">
      <c r="A70" s="196"/>
      <c r="B70" s="174"/>
      <c r="C70" s="199"/>
      <c r="D70" s="178"/>
      <c r="E70" s="178"/>
      <c r="F70" s="176"/>
      <c r="G70" s="184"/>
      <c r="H70" s="181"/>
      <c r="I70" s="193">
        <f t="shared" si="12"/>
        <v>0</v>
      </c>
      <c r="J70" s="192">
        <f t="shared" ref="J70:J133" si="13">F70*H70</f>
        <v>0</v>
      </c>
      <c r="K70" s="172"/>
      <c r="L70" s="191">
        <f t="shared" si="11"/>
        <v>0</v>
      </c>
      <c r="M70" s="190">
        <f t="shared" ref="M70:M133" si="14">K70*J70</f>
        <v>0</v>
      </c>
      <c r="N70" s="176"/>
      <c r="O70" s="176"/>
      <c r="P70" s="201"/>
      <c r="Q70" s="201"/>
      <c r="R70" s="309"/>
      <c r="S70" s="309"/>
      <c r="U70" s="106"/>
      <c r="V70" s="3"/>
      <c r="Y70" s="3"/>
      <c r="Z70" s="3" t="s">
        <v>26</v>
      </c>
      <c r="AA70" s="3"/>
      <c r="AB70" s="3"/>
      <c r="AC70" s="3"/>
      <c r="AD70" s="3"/>
      <c r="AE70" s="3"/>
      <c r="AF70" s="3"/>
      <c r="AG70" s="3"/>
      <c r="AI70" s="3"/>
      <c r="AJ70" s="3"/>
    </row>
    <row r="71" spans="1:36" x14ac:dyDescent="0.25">
      <c r="A71" s="196"/>
      <c r="B71" s="174"/>
      <c r="C71" s="199"/>
      <c r="D71" s="178"/>
      <c r="E71" s="178"/>
      <c r="F71" s="176"/>
      <c r="G71" s="184"/>
      <c r="H71" s="181"/>
      <c r="I71" s="193">
        <f t="shared" si="12"/>
        <v>0</v>
      </c>
      <c r="J71" s="192">
        <f t="shared" si="13"/>
        <v>0</v>
      </c>
      <c r="K71" s="172"/>
      <c r="L71" s="191">
        <f t="shared" si="11"/>
        <v>0</v>
      </c>
      <c r="M71" s="190">
        <f t="shared" si="14"/>
        <v>0</v>
      </c>
      <c r="N71" s="176"/>
      <c r="O71" s="176"/>
      <c r="P71" s="201"/>
      <c r="Q71" s="201"/>
      <c r="R71" s="309"/>
      <c r="S71" s="309"/>
      <c r="U71" s="106"/>
      <c r="V71" s="3"/>
      <c r="Y71" s="3"/>
      <c r="Z71" s="3" t="s">
        <v>73</v>
      </c>
      <c r="AA71" s="3"/>
      <c r="AB71" s="3"/>
      <c r="AC71" s="3"/>
      <c r="AD71" s="3"/>
      <c r="AE71" s="3"/>
      <c r="AF71" s="3"/>
      <c r="AG71" s="3"/>
      <c r="AI71" s="3"/>
      <c r="AJ71" s="3"/>
    </row>
    <row r="72" spans="1:36" x14ac:dyDescent="0.25">
      <c r="A72" s="196"/>
      <c r="B72" s="174"/>
      <c r="C72" s="199"/>
      <c r="D72" s="178"/>
      <c r="E72" s="178"/>
      <c r="F72" s="176"/>
      <c r="G72" s="184"/>
      <c r="H72" s="181"/>
      <c r="I72" s="193">
        <f t="shared" si="12"/>
        <v>0</v>
      </c>
      <c r="J72" s="192">
        <f t="shared" si="13"/>
        <v>0</v>
      </c>
      <c r="K72" s="172"/>
      <c r="L72" s="191">
        <f t="shared" si="11"/>
        <v>0</v>
      </c>
      <c r="M72" s="190">
        <f t="shared" si="14"/>
        <v>0</v>
      </c>
      <c r="N72" s="176"/>
      <c r="O72" s="176"/>
      <c r="P72" s="201"/>
      <c r="Q72" s="201"/>
      <c r="R72" s="309"/>
      <c r="S72" s="309"/>
      <c r="U72" s="106"/>
      <c r="V72" s="3"/>
      <c r="Y72" s="3"/>
      <c r="Z72" s="3" t="s">
        <v>74</v>
      </c>
      <c r="AA72" s="3"/>
      <c r="AB72" s="3"/>
      <c r="AC72" s="3"/>
      <c r="AD72" s="3"/>
      <c r="AE72" s="3"/>
      <c r="AF72" s="3"/>
      <c r="AG72" s="3"/>
      <c r="AI72" s="3"/>
      <c r="AJ72" s="3"/>
    </row>
    <row r="73" spans="1:36" x14ac:dyDescent="0.25">
      <c r="A73" s="196"/>
      <c r="B73" s="174"/>
      <c r="C73" s="199"/>
      <c r="D73" s="178"/>
      <c r="E73" s="178"/>
      <c r="F73" s="176"/>
      <c r="G73" s="184"/>
      <c r="H73" s="181"/>
      <c r="I73" s="193">
        <f t="shared" si="12"/>
        <v>0</v>
      </c>
      <c r="J73" s="192">
        <f t="shared" si="13"/>
        <v>0</v>
      </c>
      <c r="K73" s="172"/>
      <c r="L73" s="191">
        <f t="shared" si="11"/>
        <v>0</v>
      </c>
      <c r="M73" s="190">
        <f t="shared" si="14"/>
        <v>0</v>
      </c>
      <c r="N73" s="176"/>
      <c r="O73" s="176"/>
      <c r="P73" s="201"/>
      <c r="Q73" s="201"/>
      <c r="R73" s="309"/>
      <c r="S73" s="309"/>
      <c r="U73" s="106"/>
      <c r="V73" s="3"/>
      <c r="Y73" s="3"/>
      <c r="Z73" s="3" t="s">
        <v>75</v>
      </c>
      <c r="AA73" s="3"/>
      <c r="AB73" s="3"/>
      <c r="AC73" s="3"/>
      <c r="AD73" s="3"/>
      <c r="AE73" s="3"/>
      <c r="AF73" s="3"/>
      <c r="AG73" s="3"/>
      <c r="AH73" s="3"/>
      <c r="AI73" s="3"/>
      <c r="AJ73" s="3"/>
    </row>
    <row r="74" spans="1:36" x14ac:dyDescent="0.25">
      <c r="A74" s="196"/>
      <c r="B74" s="174"/>
      <c r="C74" s="199"/>
      <c r="D74" s="178"/>
      <c r="E74" s="178"/>
      <c r="F74" s="176"/>
      <c r="G74" s="184"/>
      <c r="H74" s="181"/>
      <c r="I74" s="193">
        <f t="shared" si="12"/>
        <v>0</v>
      </c>
      <c r="J74" s="192">
        <f t="shared" si="13"/>
        <v>0</v>
      </c>
      <c r="K74" s="172"/>
      <c r="L74" s="191">
        <f t="shared" si="11"/>
        <v>0</v>
      </c>
      <c r="M74" s="190">
        <f t="shared" si="14"/>
        <v>0</v>
      </c>
      <c r="N74" s="176"/>
      <c r="O74" s="176"/>
      <c r="P74" s="201"/>
      <c r="Q74" s="201"/>
      <c r="R74" s="309"/>
      <c r="S74" s="309"/>
      <c r="U74" s="106"/>
      <c r="V74" s="3"/>
      <c r="Y74" s="3"/>
      <c r="Z74" s="3" t="s">
        <v>28</v>
      </c>
      <c r="AA74" s="3"/>
      <c r="AB74" s="3"/>
      <c r="AC74" s="3"/>
      <c r="AD74" s="3"/>
      <c r="AE74" s="3"/>
      <c r="AF74" s="3"/>
      <c r="AG74" s="3"/>
      <c r="AH74" s="3"/>
      <c r="AI74" s="3"/>
      <c r="AJ74" s="3"/>
    </row>
    <row r="75" spans="1:36" x14ac:dyDescent="0.25">
      <c r="A75" s="196"/>
      <c r="B75" s="174"/>
      <c r="C75" s="199"/>
      <c r="D75" s="178"/>
      <c r="E75" s="178"/>
      <c r="F75" s="176"/>
      <c r="G75" s="184"/>
      <c r="H75" s="181"/>
      <c r="I75" s="193">
        <f t="shared" si="12"/>
        <v>0</v>
      </c>
      <c r="J75" s="192">
        <f t="shared" si="13"/>
        <v>0</v>
      </c>
      <c r="K75" s="172"/>
      <c r="L75" s="191">
        <f t="shared" si="11"/>
        <v>0</v>
      </c>
      <c r="M75" s="190">
        <f t="shared" si="14"/>
        <v>0</v>
      </c>
      <c r="N75" s="176"/>
      <c r="O75" s="176"/>
      <c r="P75" s="201"/>
      <c r="Q75" s="201"/>
      <c r="R75" s="309"/>
      <c r="S75" s="309"/>
      <c r="U75" s="106"/>
      <c r="Z75" s="3" t="s">
        <v>175</v>
      </c>
      <c r="AA75" s="3"/>
      <c r="AB75" s="3"/>
      <c r="AC75" s="3"/>
      <c r="AD75" s="3"/>
      <c r="AE75" s="3"/>
      <c r="AF75" s="3"/>
      <c r="AG75" s="3"/>
      <c r="AH75" s="3"/>
      <c r="AI75" s="3"/>
      <c r="AJ75" s="3"/>
    </row>
    <row r="76" spans="1:36" x14ac:dyDescent="0.25">
      <c r="A76" s="196"/>
      <c r="B76" s="174"/>
      <c r="C76" s="199"/>
      <c r="D76" s="178"/>
      <c r="E76" s="178"/>
      <c r="F76" s="176"/>
      <c r="G76" s="184"/>
      <c r="H76" s="181"/>
      <c r="I76" s="193">
        <f t="shared" si="12"/>
        <v>0</v>
      </c>
      <c r="J76" s="192">
        <f t="shared" si="13"/>
        <v>0</v>
      </c>
      <c r="K76" s="172"/>
      <c r="L76" s="191">
        <f t="shared" si="11"/>
        <v>0</v>
      </c>
      <c r="M76" s="190">
        <f t="shared" si="14"/>
        <v>0</v>
      </c>
      <c r="N76" s="176"/>
      <c r="O76" s="176"/>
      <c r="P76" s="201"/>
      <c r="Q76" s="201"/>
      <c r="R76" s="309"/>
      <c r="S76" s="309"/>
      <c r="U76" s="106"/>
      <c r="Z76" s="3" t="s">
        <v>179</v>
      </c>
      <c r="AA76" s="3"/>
      <c r="AB76" s="3"/>
      <c r="AC76" s="3"/>
      <c r="AD76" s="3"/>
      <c r="AE76" s="3"/>
      <c r="AF76" s="3"/>
      <c r="AG76" s="3"/>
      <c r="AH76" s="3"/>
      <c r="AI76" s="3"/>
      <c r="AJ76" s="3"/>
    </row>
    <row r="77" spans="1:36" x14ac:dyDescent="0.25">
      <c r="A77" s="196"/>
      <c r="B77" s="174"/>
      <c r="C77" s="199"/>
      <c r="D77" s="178"/>
      <c r="E77" s="178"/>
      <c r="F77" s="176"/>
      <c r="G77" s="184"/>
      <c r="H77" s="181"/>
      <c r="I77" s="193">
        <f t="shared" si="12"/>
        <v>0</v>
      </c>
      <c r="J77" s="192">
        <f t="shared" si="13"/>
        <v>0</v>
      </c>
      <c r="K77" s="172"/>
      <c r="L77" s="191">
        <f t="shared" si="11"/>
        <v>0</v>
      </c>
      <c r="M77" s="190">
        <f t="shared" si="14"/>
        <v>0</v>
      </c>
      <c r="N77" s="176"/>
      <c r="O77" s="176"/>
      <c r="P77" s="201"/>
      <c r="Q77" s="201"/>
      <c r="R77" s="309"/>
      <c r="S77" s="309"/>
      <c r="U77" s="106"/>
      <c r="Z77" s="3" t="s">
        <v>181</v>
      </c>
      <c r="AA77" s="3"/>
      <c r="AB77" s="3"/>
      <c r="AC77" s="3"/>
      <c r="AD77" s="3"/>
      <c r="AE77" s="3"/>
      <c r="AF77" s="3"/>
      <c r="AG77" s="3"/>
      <c r="AH77" s="3"/>
      <c r="AI77" s="3"/>
      <c r="AJ77" s="3"/>
    </row>
    <row r="78" spans="1:36" x14ac:dyDescent="0.25">
      <c r="A78" s="196"/>
      <c r="B78" s="174"/>
      <c r="C78" s="199"/>
      <c r="D78" s="178"/>
      <c r="E78" s="178"/>
      <c r="F78" s="176"/>
      <c r="G78" s="184"/>
      <c r="H78" s="181"/>
      <c r="I78" s="193">
        <f t="shared" si="12"/>
        <v>0</v>
      </c>
      <c r="J78" s="192">
        <f t="shared" si="13"/>
        <v>0</v>
      </c>
      <c r="K78" s="172"/>
      <c r="L78" s="191">
        <f t="shared" si="11"/>
        <v>0</v>
      </c>
      <c r="M78" s="190">
        <f t="shared" si="14"/>
        <v>0</v>
      </c>
      <c r="N78" s="176"/>
      <c r="O78" s="176"/>
      <c r="P78" s="201"/>
      <c r="Q78" s="201"/>
      <c r="R78" s="309"/>
      <c r="S78" s="309"/>
      <c r="Z78" s="3" t="s">
        <v>183</v>
      </c>
      <c r="AA78" s="3"/>
      <c r="AB78" s="3"/>
      <c r="AC78" s="3"/>
      <c r="AD78" s="3"/>
      <c r="AE78" s="3"/>
      <c r="AF78" s="3"/>
      <c r="AG78" s="3"/>
      <c r="AH78" s="3"/>
      <c r="AI78" s="3"/>
      <c r="AJ78" s="3"/>
    </row>
    <row r="79" spans="1:36" x14ac:dyDescent="0.25">
      <c r="A79" s="196"/>
      <c r="B79" s="174"/>
      <c r="C79" s="199"/>
      <c r="D79" s="178"/>
      <c r="E79" s="178"/>
      <c r="F79" s="176"/>
      <c r="G79" s="184"/>
      <c r="H79" s="181"/>
      <c r="I79" s="193">
        <f t="shared" si="12"/>
        <v>0</v>
      </c>
      <c r="J79" s="192">
        <f t="shared" si="13"/>
        <v>0</v>
      </c>
      <c r="K79" s="172"/>
      <c r="L79" s="191">
        <f t="shared" si="11"/>
        <v>0</v>
      </c>
      <c r="M79" s="190">
        <f t="shared" si="14"/>
        <v>0</v>
      </c>
      <c r="N79" s="176"/>
      <c r="O79" s="176"/>
      <c r="P79" s="201"/>
      <c r="Q79" s="201"/>
      <c r="R79" s="309"/>
      <c r="S79" s="309"/>
      <c r="Z79" s="3" t="s">
        <v>185</v>
      </c>
      <c r="AA79" s="3"/>
      <c r="AB79" s="3"/>
      <c r="AC79" s="3"/>
      <c r="AD79" s="3"/>
      <c r="AE79" s="3"/>
      <c r="AF79" s="3"/>
      <c r="AG79" s="3"/>
      <c r="AH79" s="3"/>
      <c r="AI79" s="3"/>
      <c r="AJ79" s="3"/>
    </row>
    <row r="80" spans="1:36" x14ac:dyDescent="0.25">
      <c r="A80" s="196"/>
      <c r="B80" s="174"/>
      <c r="C80" s="199"/>
      <c r="D80" s="178"/>
      <c r="E80" s="178"/>
      <c r="F80" s="176"/>
      <c r="G80" s="184"/>
      <c r="H80" s="181"/>
      <c r="I80" s="193">
        <f t="shared" si="12"/>
        <v>0</v>
      </c>
      <c r="J80" s="192">
        <f t="shared" si="13"/>
        <v>0</v>
      </c>
      <c r="K80" s="172"/>
      <c r="L80" s="191">
        <f t="shared" si="11"/>
        <v>0</v>
      </c>
      <c r="M80" s="190">
        <f t="shared" si="14"/>
        <v>0</v>
      </c>
      <c r="N80" s="176"/>
      <c r="O80" s="176"/>
      <c r="P80" s="201"/>
      <c r="Q80" s="201"/>
      <c r="R80" s="309"/>
      <c r="S80" s="309"/>
      <c r="Z80" s="3" t="s">
        <v>186</v>
      </c>
      <c r="AA80" s="3"/>
      <c r="AB80" s="3"/>
      <c r="AC80" s="3"/>
      <c r="AD80" s="3"/>
      <c r="AE80" s="3"/>
      <c r="AF80" s="3"/>
      <c r="AG80" s="3"/>
      <c r="AH80" s="3"/>
      <c r="AI80" s="3"/>
      <c r="AJ80" s="3"/>
    </row>
    <row r="81" spans="1:36" x14ac:dyDescent="0.25">
      <c r="A81" s="196"/>
      <c r="B81" s="174"/>
      <c r="C81" s="199"/>
      <c r="D81" s="178"/>
      <c r="E81" s="178"/>
      <c r="F81" s="176"/>
      <c r="G81" s="184"/>
      <c r="H81" s="181"/>
      <c r="I81" s="193">
        <f t="shared" si="12"/>
        <v>0</v>
      </c>
      <c r="J81" s="192">
        <f t="shared" si="13"/>
        <v>0</v>
      </c>
      <c r="K81" s="172"/>
      <c r="L81" s="191">
        <f t="shared" si="11"/>
        <v>0</v>
      </c>
      <c r="M81" s="190">
        <f t="shared" si="14"/>
        <v>0</v>
      </c>
      <c r="N81" s="176"/>
      <c r="O81" s="176"/>
      <c r="P81" s="201"/>
      <c r="Q81" s="201"/>
      <c r="R81" s="309"/>
      <c r="S81" s="309"/>
      <c r="Z81" s="3" t="s">
        <v>187</v>
      </c>
      <c r="AA81" s="3"/>
      <c r="AB81" s="3"/>
      <c r="AC81" s="3"/>
      <c r="AD81" s="3"/>
      <c r="AE81" s="3"/>
      <c r="AF81" s="3"/>
      <c r="AG81" s="3"/>
      <c r="AH81" s="3"/>
      <c r="AI81" s="3"/>
      <c r="AJ81" s="3"/>
    </row>
    <row r="82" spans="1:36" x14ac:dyDescent="0.25">
      <c r="A82" s="196"/>
      <c r="B82" s="174"/>
      <c r="C82" s="199"/>
      <c r="D82" s="178"/>
      <c r="E82" s="178"/>
      <c r="F82" s="176"/>
      <c r="G82" s="184"/>
      <c r="H82" s="181"/>
      <c r="I82" s="193">
        <f t="shared" si="12"/>
        <v>0</v>
      </c>
      <c r="J82" s="192">
        <f t="shared" si="13"/>
        <v>0</v>
      </c>
      <c r="K82" s="172"/>
      <c r="L82" s="191">
        <f t="shared" si="11"/>
        <v>0</v>
      </c>
      <c r="M82" s="190">
        <f t="shared" si="14"/>
        <v>0</v>
      </c>
      <c r="N82" s="176"/>
      <c r="O82" s="176"/>
      <c r="P82" s="201"/>
      <c r="Q82" s="201"/>
      <c r="R82" s="309"/>
      <c r="S82" s="309"/>
      <c r="Z82" s="3" t="s">
        <v>215</v>
      </c>
      <c r="AA82" s="3"/>
      <c r="AB82" s="3"/>
      <c r="AC82" s="3"/>
      <c r="AD82" s="3"/>
      <c r="AE82" s="3"/>
      <c r="AF82" s="3"/>
      <c r="AG82" s="3"/>
      <c r="AH82" s="3"/>
      <c r="AI82" s="3"/>
      <c r="AJ82" s="3"/>
    </row>
    <row r="83" spans="1:36" x14ac:dyDescent="0.25">
      <c r="A83" s="196"/>
      <c r="B83" s="174"/>
      <c r="C83" s="199"/>
      <c r="D83" s="178"/>
      <c r="E83" s="178"/>
      <c r="F83" s="176"/>
      <c r="G83" s="184"/>
      <c r="H83" s="181"/>
      <c r="I83" s="193">
        <f t="shared" si="12"/>
        <v>0</v>
      </c>
      <c r="J83" s="192">
        <f t="shared" si="13"/>
        <v>0</v>
      </c>
      <c r="K83" s="172"/>
      <c r="L83" s="191">
        <f t="shared" si="11"/>
        <v>0</v>
      </c>
      <c r="M83" s="190">
        <f t="shared" si="14"/>
        <v>0</v>
      </c>
      <c r="N83" s="176"/>
      <c r="O83" s="176"/>
      <c r="P83" s="201"/>
      <c r="Q83" s="201"/>
      <c r="R83" s="309"/>
      <c r="S83" s="309"/>
      <c r="Y83" s="3"/>
      <c r="Z83" s="3" t="s">
        <v>216</v>
      </c>
      <c r="AA83" s="3"/>
      <c r="AB83" s="3"/>
      <c r="AC83" s="3"/>
      <c r="AD83" s="3"/>
      <c r="AE83" s="3"/>
      <c r="AF83" s="3"/>
      <c r="AG83" s="3"/>
      <c r="AH83" s="3"/>
      <c r="AI83" s="3"/>
      <c r="AJ83" s="3"/>
    </row>
    <row r="84" spans="1:36" x14ac:dyDescent="0.25">
      <c r="A84" s="196"/>
      <c r="B84" s="174"/>
      <c r="C84" s="199"/>
      <c r="D84" s="178"/>
      <c r="E84" s="178"/>
      <c r="F84" s="176"/>
      <c r="G84" s="184"/>
      <c r="H84" s="181"/>
      <c r="I84" s="193">
        <f t="shared" si="12"/>
        <v>0</v>
      </c>
      <c r="J84" s="192">
        <f t="shared" si="13"/>
        <v>0</v>
      </c>
      <c r="K84" s="172"/>
      <c r="L84" s="191">
        <f t="shared" si="11"/>
        <v>0</v>
      </c>
      <c r="M84" s="190">
        <f t="shared" si="14"/>
        <v>0</v>
      </c>
      <c r="N84" s="176"/>
      <c r="O84" s="176"/>
      <c r="P84" s="201"/>
      <c r="Q84" s="201"/>
      <c r="R84" s="309"/>
      <c r="S84" s="309"/>
      <c r="Y84" s="3"/>
      <c r="Z84" s="3" t="s">
        <v>197</v>
      </c>
      <c r="AA84" s="3"/>
      <c r="AB84" s="3"/>
      <c r="AC84" s="3"/>
      <c r="AD84" s="3"/>
      <c r="AE84" s="3"/>
      <c r="AF84" s="3"/>
      <c r="AG84" s="3"/>
      <c r="AH84" s="3"/>
      <c r="AI84" s="3"/>
      <c r="AJ84" s="3"/>
    </row>
    <row r="85" spans="1:36" x14ac:dyDescent="0.25">
      <c r="A85" s="196"/>
      <c r="B85" s="174"/>
      <c r="C85" s="199"/>
      <c r="D85" s="178"/>
      <c r="E85" s="178"/>
      <c r="F85" s="176"/>
      <c r="G85" s="184"/>
      <c r="H85" s="181"/>
      <c r="I85" s="193">
        <f t="shared" si="12"/>
        <v>0</v>
      </c>
      <c r="J85" s="192">
        <f t="shared" si="13"/>
        <v>0</v>
      </c>
      <c r="K85" s="172"/>
      <c r="L85" s="191">
        <f t="shared" si="11"/>
        <v>0</v>
      </c>
      <c r="M85" s="190">
        <f t="shared" si="14"/>
        <v>0</v>
      </c>
      <c r="N85" s="176"/>
      <c r="O85" s="176"/>
      <c r="P85" s="201"/>
      <c r="Q85" s="201"/>
      <c r="R85" s="309"/>
      <c r="S85" s="309"/>
      <c r="Y85" s="3"/>
      <c r="Z85" s="3" t="s">
        <v>198</v>
      </c>
      <c r="AA85" s="3"/>
      <c r="AB85" s="3"/>
      <c r="AC85" s="3"/>
      <c r="AD85" s="3"/>
      <c r="AE85" s="3"/>
      <c r="AF85" s="3"/>
      <c r="AG85" s="3"/>
      <c r="AH85" s="3"/>
      <c r="AI85" s="3"/>
      <c r="AJ85" s="3"/>
    </row>
    <row r="86" spans="1:36" x14ac:dyDescent="0.25">
      <c r="A86" s="196"/>
      <c r="B86" s="174"/>
      <c r="C86" s="199"/>
      <c r="D86" s="178"/>
      <c r="E86" s="178"/>
      <c r="F86" s="176"/>
      <c r="G86" s="184"/>
      <c r="H86" s="181"/>
      <c r="I86" s="193">
        <f t="shared" si="12"/>
        <v>0</v>
      </c>
      <c r="J86" s="192">
        <f t="shared" si="13"/>
        <v>0</v>
      </c>
      <c r="K86" s="172"/>
      <c r="L86" s="191">
        <f t="shared" si="11"/>
        <v>0</v>
      </c>
      <c r="M86" s="190">
        <f t="shared" si="14"/>
        <v>0</v>
      </c>
      <c r="N86" s="176"/>
      <c r="O86" s="176"/>
      <c r="P86" s="201"/>
      <c r="Q86" s="201"/>
      <c r="R86" s="309"/>
      <c r="S86" s="309"/>
      <c r="Y86" s="3"/>
      <c r="Z86" s="3" t="s">
        <v>199</v>
      </c>
      <c r="AA86" s="3"/>
      <c r="AB86" s="3"/>
      <c r="AC86" s="3"/>
      <c r="AD86" s="3"/>
      <c r="AE86" s="3"/>
      <c r="AF86" s="3"/>
      <c r="AG86" s="3"/>
      <c r="AH86" s="3"/>
      <c r="AI86" s="3"/>
      <c r="AJ86" s="3"/>
    </row>
    <row r="87" spans="1:36" x14ac:dyDescent="0.25">
      <c r="A87" s="196"/>
      <c r="B87" s="174"/>
      <c r="C87" s="199"/>
      <c r="D87" s="178"/>
      <c r="E87" s="178"/>
      <c r="F87" s="176"/>
      <c r="G87" s="184"/>
      <c r="H87" s="181"/>
      <c r="I87" s="193">
        <f t="shared" si="12"/>
        <v>0</v>
      </c>
      <c r="J87" s="192">
        <f t="shared" si="13"/>
        <v>0</v>
      </c>
      <c r="K87" s="172"/>
      <c r="L87" s="191">
        <f t="shared" si="11"/>
        <v>0</v>
      </c>
      <c r="M87" s="190">
        <f t="shared" si="14"/>
        <v>0</v>
      </c>
      <c r="N87" s="176"/>
      <c r="O87" s="176"/>
      <c r="P87" s="201"/>
      <c r="Q87" s="201"/>
      <c r="R87" s="309"/>
      <c r="S87" s="309"/>
      <c r="Y87" s="3"/>
      <c r="Z87" s="3"/>
      <c r="AA87" s="3"/>
      <c r="AB87" s="3"/>
      <c r="AC87" s="3"/>
      <c r="AD87" s="3"/>
      <c r="AE87" s="3"/>
      <c r="AF87" s="3"/>
      <c r="AG87" s="3"/>
      <c r="AH87" s="3"/>
      <c r="AI87" s="3"/>
      <c r="AJ87" s="3"/>
    </row>
    <row r="88" spans="1:36" x14ac:dyDescent="0.25">
      <c r="A88" s="196"/>
      <c r="B88" s="174"/>
      <c r="C88" s="199"/>
      <c r="D88" s="178"/>
      <c r="E88" s="178"/>
      <c r="F88" s="176"/>
      <c r="G88" s="184"/>
      <c r="H88" s="181"/>
      <c r="I88" s="193">
        <f t="shared" si="12"/>
        <v>0</v>
      </c>
      <c r="J88" s="192">
        <f t="shared" si="13"/>
        <v>0</v>
      </c>
      <c r="K88" s="172"/>
      <c r="L88" s="191">
        <f t="shared" si="11"/>
        <v>0</v>
      </c>
      <c r="M88" s="190">
        <f t="shared" si="14"/>
        <v>0</v>
      </c>
      <c r="N88" s="176"/>
      <c r="O88" s="176"/>
      <c r="P88" s="201"/>
      <c r="Q88" s="201"/>
      <c r="R88" s="309"/>
      <c r="S88" s="309"/>
      <c r="Y88" s="3"/>
      <c r="Z88" s="3"/>
      <c r="AA88" s="3"/>
      <c r="AB88" s="3"/>
      <c r="AC88" s="3"/>
      <c r="AD88" s="3"/>
      <c r="AE88" s="3"/>
      <c r="AF88" s="3"/>
      <c r="AG88" s="3"/>
      <c r="AH88" s="3"/>
      <c r="AI88" s="3"/>
      <c r="AJ88" s="3"/>
    </row>
    <row r="89" spans="1:36" x14ac:dyDescent="0.25">
      <c r="A89" s="196"/>
      <c r="B89" s="174"/>
      <c r="C89" s="199"/>
      <c r="D89" s="178"/>
      <c r="E89" s="178"/>
      <c r="F89" s="176"/>
      <c r="G89" s="184"/>
      <c r="H89" s="181"/>
      <c r="I89" s="193">
        <f t="shared" si="12"/>
        <v>0</v>
      </c>
      <c r="J89" s="192">
        <f t="shared" si="13"/>
        <v>0</v>
      </c>
      <c r="K89" s="172"/>
      <c r="L89" s="191">
        <f t="shared" si="11"/>
        <v>0</v>
      </c>
      <c r="M89" s="190">
        <f t="shared" si="14"/>
        <v>0</v>
      </c>
      <c r="N89" s="176"/>
      <c r="O89" s="176"/>
      <c r="P89" s="201"/>
      <c r="Q89" s="201"/>
      <c r="R89" s="309"/>
      <c r="S89" s="309"/>
      <c r="Y89" s="3"/>
      <c r="Z89" s="3"/>
      <c r="AA89" s="3"/>
      <c r="AB89" s="3"/>
      <c r="AC89" s="3"/>
      <c r="AD89" s="3"/>
      <c r="AE89" s="3"/>
      <c r="AF89" s="3"/>
      <c r="AG89" s="3"/>
      <c r="AH89" s="3"/>
      <c r="AI89" s="3"/>
      <c r="AJ89" s="3"/>
    </row>
    <row r="90" spans="1:36" x14ac:dyDescent="0.25">
      <c r="A90" s="196"/>
      <c r="B90" s="174"/>
      <c r="C90" s="199"/>
      <c r="D90" s="178"/>
      <c r="E90" s="178"/>
      <c r="F90" s="176"/>
      <c r="G90" s="184"/>
      <c r="H90" s="181"/>
      <c r="I90" s="193">
        <f t="shared" si="12"/>
        <v>0</v>
      </c>
      <c r="J90" s="192">
        <f t="shared" si="13"/>
        <v>0</v>
      </c>
      <c r="K90" s="172"/>
      <c r="L90" s="191">
        <f t="shared" si="11"/>
        <v>0</v>
      </c>
      <c r="M90" s="190">
        <f t="shared" si="14"/>
        <v>0</v>
      </c>
      <c r="N90" s="176"/>
      <c r="O90" s="176"/>
      <c r="P90" s="201"/>
      <c r="Q90" s="201"/>
      <c r="R90" s="309"/>
      <c r="S90" s="309"/>
      <c r="Y90" s="3"/>
      <c r="Z90" s="3"/>
      <c r="AA90" s="3"/>
      <c r="AB90" s="3"/>
      <c r="AC90" s="3"/>
      <c r="AD90" s="3"/>
      <c r="AE90" s="3"/>
      <c r="AF90" s="3"/>
      <c r="AG90" s="3"/>
      <c r="AH90" s="3"/>
      <c r="AI90" s="3"/>
      <c r="AJ90" s="3"/>
    </row>
    <row r="91" spans="1:36" x14ac:dyDescent="0.25">
      <c r="A91" s="196"/>
      <c r="B91" s="174"/>
      <c r="C91" s="199"/>
      <c r="D91" s="178"/>
      <c r="E91" s="178"/>
      <c r="F91" s="176"/>
      <c r="G91" s="184"/>
      <c r="H91" s="181"/>
      <c r="I91" s="193">
        <f t="shared" si="12"/>
        <v>0</v>
      </c>
      <c r="J91" s="192">
        <f t="shared" si="13"/>
        <v>0</v>
      </c>
      <c r="K91" s="172"/>
      <c r="L91" s="191">
        <f t="shared" si="11"/>
        <v>0</v>
      </c>
      <c r="M91" s="190">
        <f t="shared" si="14"/>
        <v>0</v>
      </c>
      <c r="N91" s="176"/>
      <c r="O91" s="176"/>
      <c r="P91" s="201"/>
      <c r="Q91" s="201"/>
      <c r="R91" s="309"/>
      <c r="S91" s="309"/>
      <c r="Y91" s="3"/>
      <c r="Z91" s="3"/>
      <c r="AA91" s="3"/>
      <c r="AB91" s="3"/>
      <c r="AC91" s="3"/>
      <c r="AD91" s="3"/>
      <c r="AE91" s="3"/>
      <c r="AF91" s="3"/>
      <c r="AG91" s="3"/>
      <c r="AH91" s="3"/>
      <c r="AI91" s="3"/>
      <c r="AJ91" s="3"/>
    </row>
    <row r="92" spans="1:36" x14ac:dyDescent="0.25">
      <c r="A92" s="196"/>
      <c r="B92" s="174"/>
      <c r="C92" s="199"/>
      <c r="D92" s="178"/>
      <c r="E92" s="178"/>
      <c r="F92" s="176"/>
      <c r="G92" s="184"/>
      <c r="H92" s="181"/>
      <c r="I92" s="193">
        <f t="shared" si="12"/>
        <v>0</v>
      </c>
      <c r="J92" s="192">
        <f t="shared" si="13"/>
        <v>0</v>
      </c>
      <c r="K92" s="172"/>
      <c r="L92" s="191">
        <f t="shared" si="11"/>
        <v>0</v>
      </c>
      <c r="M92" s="190">
        <f t="shared" si="14"/>
        <v>0</v>
      </c>
      <c r="N92" s="176"/>
      <c r="O92" s="176"/>
      <c r="P92" s="201"/>
      <c r="Q92" s="201"/>
      <c r="R92" s="309"/>
      <c r="S92" s="309"/>
      <c r="Y92" s="3"/>
      <c r="Z92" s="3"/>
      <c r="AA92" s="3"/>
      <c r="AB92" s="3"/>
      <c r="AC92" s="3"/>
      <c r="AD92" s="3"/>
      <c r="AE92" s="3"/>
      <c r="AF92" s="3"/>
      <c r="AG92" s="3"/>
      <c r="AH92" s="3"/>
      <c r="AI92" s="3"/>
      <c r="AJ92" s="3"/>
    </row>
    <row r="93" spans="1:36" x14ac:dyDescent="0.25">
      <c r="A93" s="196"/>
      <c r="B93" s="174"/>
      <c r="C93" s="199"/>
      <c r="D93" s="178"/>
      <c r="E93" s="178"/>
      <c r="F93" s="176"/>
      <c r="G93" s="184"/>
      <c r="H93" s="181"/>
      <c r="I93" s="193">
        <f t="shared" si="12"/>
        <v>0</v>
      </c>
      <c r="J93" s="192">
        <f t="shared" si="13"/>
        <v>0</v>
      </c>
      <c r="K93" s="172"/>
      <c r="L93" s="191">
        <f t="shared" si="11"/>
        <v>0</v>
      </c>
      <c r="M93" s="190">
        <f t="shared" si="14"/>
        <v>0</v>
      </c>
      <c r="N93" s="176"/>
      <c r="O93" s="176"/>
      <c r="P93" s="201"/>
      <c r="Q93" s="201"/>
      <c r="R93" s="309"/>
      <c r="S93" s="309"/>
      <c r="Y93" s="3"/>
      <c r="Z93" s="3"/>
      <c r="AA93" s="3"/>
      <c r="AB93" s="3"/>
      <c r="AC93" s="3"/>
      <c r="AD93" s="3"/>
      <c r="AE93" s="3"/>
      <c r="AF93" s="3"/>
      <c r="AG93" s="3"/>
      <c r="AH93" s="3"/>
      <c r="AI93" s="3"/>
      <c r="AJ93" s="3"/>
    </row>
    <row r="94" spans="1:36" x14ac:dyDescent="0.25">
      <c r="A94" s="196"/>
      <c r="B94" s="174"/>
      <c r="C94" s="199"/>
      <c r="D94" s="178"/>
      <c r="E94" s="178"/>
      <c r="F94" s="176"/>
      <c r="G94" s="184"/>
      <c r="H94" s="181"/>
      <c r="I94" s="193">
        <f t="shared" si="12"/>
        <v>0</v>
      </c>
      <c r="J94" s="192">
        <f t="shared" si="13"/>
        <v>0</v>
      </c>
      <c r="K94" s="172"/>
      <c r="L94" s="191">
        <f t="shared" si="11"/>
        <v>0</v>
      </c>
      <c r="M94" s="190">
        <f t="shared" si="14"/>
        <v>0</v>
      </c>
      <c r="N94" s="176"/>
      <c r="O94" s="176"/>
      <c r="P94" s="201"/>
      <c r="Q94" s="201"/>
      <c r="R94" s="309"/>
      <c r="S94" s="309"/>
      <c r="Y94" s="3"/>
      <c r="Z94" s="3"/>
      <c r="AA94" s="3"/>
      <c r="AB94" s="3"/>
      <c r="AC94" s="3"/>
      <c r="AD94" s="3"/>
      <c r="AE94" s="3"/>
      <c r="AF94" s="3"/>
      <c r="AG94" s="3"/>
      <c r="AH94" s="3"/>
      <c r="AI94" s="3"/>
      <c r="AJ94" s="3"/>
    </row>
    <row r="95" spans="1:36" x14ac:dyDescent="0.25">
      <c r="A95" s="196"/>
      <c r="B95" s="174"/>
      <c r="C95" s="199"/>
      <c r="D95" s="178"/>
      <c r="E95" s="178"/>
      <c r="F95" s="176"/>
      <c r="G95" s="184"/>
      <c r="H95" s="181"/>
      <c r="I95" s="193">
        <f t="shared" si="12"/>
        <v>0</v>
      </c>
      <c r="J95" s="192">
        <f t="shared" si="13"/>
        <v>0</v>
      </c>
      <c r="K95" s="172"/>
      <c r="L95" s="191">
        <f t="shared" si="11"/>
        <v>0</v>
      </c>
      <c r="M95" s="190">
        <f t="shared" si="14"/>
        <v>0</v>
      </c>
      <c r="N95" s="176"/>
      <c r="O95" s="176"/>
      <c r="P95" s="201"/>
      <c r="Q95" s="201"/>
      <c r="R95" s="309"/>
      <c r="S95" s="309"/>
    </row>
    <row r="96" spans="1:36" x14ac:dyDescent="0.25">
      <c r="A96" s="196"/>
      <c r="B96" s="174"/>
      <c r="C96" s="199"/>
      <c r="D96" s="178"/>
      <c r="E96" s="178"/>
      <c r="F96" s="176"/>
      <c r="G96" s="184"/>
      <c r="H96" s="181"/>
      <c r="I96" s="193">
        <f t="shared" si="12"/>
        <v>0</v>
      </c>
      <c r="J96" s="192">
        <f t="shared" si="13"/>
        <v>0</v>
      </c>
      <c r="K96" s="172"/>
      <c r="L96" s="191">
        <f t="shared" si="11"/>
        <v>0</v>
      </c>
      <c r="M96" s="190">
        <f t="shared" si="14"/>
        <v>0</v>
      </c>
      <c r="N96" s="176"/>
      <c r="O96" s="176"/>
      <c r="P96" s="201"/>
      <c r="Q96" s="201"/>
      <c r="R96" s="309"/>
      <c r="S96" s="309"/>
    </row>
    <row r="97" spans="1:19" x14ac:dyDescent="0.25">
      <c r="A97" s="196"/>
      <c r="B97" s="174"/>
      <c r="C97" s="199"/>
      <c r="D97" s="178"/>
      <c r="E97" s="178"/>
      <c r="F97" s="176"/>
      <c r="G97" s="184"/>
      <c r="H97" s="181"/>
      <c r="I97" s="193">
        <f t="shared" si="12"/>
        <v>0</v>
      </c>
      <c r="J97" s="192">
        <f t="shared" si="13"/>
        <v>0</v>
      </c>
      <c r="K97" s="172"/>
      <c r="L97" s="191">
        <f t="shared" si="11"/>
        <v>0</v>
      </c>
      <c r="M97" s="190">
        <f t="shared" si="14"/>
        <v>0</v>
      </c>
      <c r="N97" s="176"/>
      <c r="O97" s="176"/>
      <c r="P97" s="201"/>
      <c r="Q97" s="201"/>
      <c r="R97" s="309"/>
      <c r="S97" s="309"/>
    </row>
    <row r="98" spans="1:19" x14ac:dyDescent="0.25">
      <c r="A98" s="196"/>
      <c r="B98" s="174"/>
      <c r="C98" s="199"/>
      <c r="D98" s="178"/>
      <c r="E98" s="178"/>
      <c r="F98" s="176"/>
      <c r="G98" s="184"/>
      <c r="H98" s="181"/>
      <c r="I98" s="193">
        <f t="shared" si="12"/>
        <v>0</v>
      </c>
      <c r="J98" s="192">
        <f t="shared" si="13"/>
        <v>0</v>
      </c>
      <c r="K98" s="172"/>
      <c r="L98" s="191">
        <f t="shared" si="11"/>
        <v>0</v>
      </c>
      <c r="M98" s="190">
        <f t="shared" si="14"/>
        <v>0</v>
      </c>
      <c r="N98" s="176"/>
      <c r="O98" s="176"/>
      <c r="P98" s="201"/>
      <c r="Q98" s="201"/>
      <c r="R98" s="309"/>
      <c r="S98" s="309"/>
    </row>
    <row r="99" spans="1:19" x14ac:dyDescent="0.25">
      <c r="A99" s="196"/>
      <c r="B99" s="174"/>
      <c r="C99" s="199"/>
      <c r="D99" s="178"/>
      <c r="E99" s="178"/>
      <c r="F99" s="176"/>
      <c r="G99" s="184"/>
      <c r="H99" s="181"/>
      <c r="I99" s="193">
        <f t="shared" si="12"/>
        <v>0</v>
      </c>
      <c r="J99" s="192">
        <f t="shared" si="13"/>
        <v>0</v>
      </c>
      <c r="K99" s="172"/>
      <c r="L99" s="191">
        <f t="shared" si="11"/>
        <v>0</v>
      </c>
      <c r="M99" s="190">
        <f t="shared" si="14"/>
        <v>0</v>
      </c>
      <c r="N99" s="176"/>
      <c r="O99" s="176"/>
      <c r="P99" s="201"/>
      <c r="Q99" s="201"/>
      <c r="R99" s="309"/>
      <c r="S99" s="309"/>
    </row>
    <row r="100" spans="1:19" x14ac:dyDescent="0.25">
      <c r="A100" s="196"/>
      <c r="B100" s="174"/>
      <c r="C100" s="199"/>
      <c r="D100" s="178"/>
      <c r="E100" s="178"/>
      <c r="F100" s="176"/>
      <c r="G100" s="184"/>
      <c r="H100" s="181"/>
      <c r="I100" s="193">
        <f t="shared" si="12"/>
        <v>0</v>
      </c>
      <c r="J100" s="192">
        <f t="shared" si="13"/>
        <v>0</v>
      </c>
      <c r="K100" s="172"/>
      <c r="L100" s="191">
        <f t="shared" si="11"/>
        <v>0</v>
      </c>
      <c r="M100" s="190">
        <f t="shared" si="14"/>
        <v>0</v>
      </c>
      <c r="N100" s="176"/>
      <c r="O100" s="176"/>
      <c r="P100" s="201"/>
      <c r="Q100" s="201"/>
      <c r="R100" s="309"/>
      <c r="S100" s="309"/>
    </row>
    <row r="101" spans="1:19" x14ac:dyDescent="0.25">
      <c r="A101" s="196"/>
      <c r="B101" s="174"/>
      <c r="C101" s="199"/>
      <c r="D101" s="178"/>
      <c r="E101" s="178"/>
      <c r="F101" s="176"/>
      <c r="G101" s="184"/>
      <c r="H101" s="181"/>
      <c r="I101" s="193">
        <f t="shared" si="12"/>
        <v>0</v>
      </c>
      <c r="J101" s="192">
        <f t="shared" si="13"/>
        <v>0</v>
      </c>
      <c r="K101" s="172"/>
      <c r="L101" s="191">
        <f t="shared" si="11"/>
        <v>0</v>
      </c>
      <c r="M101" s="190">
        <f t="shared" si="14"/>
        <v>0</v>
      </c>
      <c r="N101" s="176"/>
      <c r="O101" s="176"/>
      <c r="P101" s="201"/>
      <c r="Q101" s="201"/>
      <c r="R101" s="309"/>
      <c r="S101" s="309"/>
    </row>
    <row r="102" spans="1:19" x14ac:dyDescent="0.25">
      <c r="A102" s="196"/>
      <c r="B102" s="174"/>
      <c r="C102" s="199"/>
      <c r="D102" s="178"/>
      <c r="E102" s="178"/>
      <c r="F102" s="176"/>
      <c r="G102" s="184"/>
      <c r="H102" s="181"/>
      <c r="I102" s="193">
        <f t="shared" si="12"/>
        <v>0</v>
      </c>
      <c r="J102" s="192">
        <f t="shared" si="13"/>
        <v>0</v>
      </c>
      <c r="K102" s="172"/>
      <c r="L102" s="191">
        <f t="shared" si="11"/>
        <v>0</v>
      </c>
      <c r="M102" s="190">
        <f t="shared" si="14"/>
        <v>0</v>
      </c>
      <c r="N102" s="176"/>
      <c r="O102" s="176"/>
      <c r="P102" s="201"/>
      <c r="Q102" s="201"/>
      <c r="R102" s="309"/>
      <c r="S102" s="309"/>
    </row>
    <row r="103" spans="1:19" x14ac:dyDescent="0.25">
      <c r="A103" s="196"/>
      <c r="B103" s="174"/>
      <c r="C103" s="199"/>
      <c r="D103" s="178"/>
      <c r="E103" s="178"/>
      <c r="F103" s="176"/>
      <c r="G103" s="184"/>
      <c r="H103" s="181"/>
      <c r="I103" s="193">
        <f t="shared" si="12"/>
        <v>0</v>
      </c>
      <c r="J103" s="192">
        <f t="shared" si="13"/>
        <v>0</v>
      </c>
      <c r="K103" s="172"/>
      <c r="L103" s="191">
        <f t="shared" si="11"/>
        <v>0</v>
      </c>
      <c r="M103" s="190">
        <f t="shared" si="14"/>
        <v>0</v>
      </c>
      <c r="N103" s="176"/>
      <c r="O103" s="176"/>
      <c r="P103" s="201"/>
      <c r="Q103" s="201"/>
      <c r="R103" s="309"/>
      <c r="S103" s="309"/>
    </row>
    <row r="104" spans="1:19" x14ac:dyDescent="0.25">
      <c r="A104" s="196"/>
      <c r="B104" s="174"/>
      <c r="C104" s="200"/>
      <c r="D104" s="179"/>
      <c r="E104" s="179"/>
      <c r="F104" s="185"/>
      <c r="G104" s="186"/>
      <c r="H104" s="182"/>
      <c r="I104" s="193">
        <f t="shared" si="12"/>
        <v>0</v>
      </c>
      <c r="J104" s="192">
        <f t="shared" si="13"/>
        <v>0</v>
      </c>
      <c r="K104" s="173"/>
      <c r="L104" s="191">
        <f t="shared" si="11"/>
        <v>0</v>
      </c>
      <c r="M104" s="190">
        <f t="shared" si="14"/>
        <v>0</v>
      </c>
      <c r="N104" s="176"/>
      <c r="O104" s="176"/>
      <c r="P104" s="201"/>
      <c r="Q104" s="201"/>
      <c r="R104" s="309"/>
      <c r="S104" s="309"/>
    </row>
    <row r="105" spans="1:19" x14ac:dyDescent="0.25">
      <c r="A105" s="196"/>
      <c r="B105" s="174"/>
      <c r="C105" s="200"/>
      <c r="D105" s="179"/>
      <c r="E105" s="179"/>
      <c r="F105" s="185"/>
      <c r="G105" s="186"/>
      <c r="H105" s="182"/>
      <c r="I105" s="193">
        <f t="shared" si="12"/>
        <v>0</v>
      </c>
      <c r="J105" s="192">
        <f t="shared" si="13"/>
        <v>0</v>
      </c>
      <c r="K105" s="173"/>
      <c r="L105" s="191">
        <f t="shared" si="11"/>
        <v>0</v>
      </c>
      <c r="M105" s="190">
        <f t="shared" si="14"/>
        <v>0</v>
      </c>
      <c r="N105" s="176"/>
      <c r="O105" s="176"/>
      <c r="P105" s="201"/>
      <c r="Q105" s="201"/>
      <c r="R105" s="309"/>
      <c r="S105" s="309"/>
    </row>
    <row r="106" spans="1:19" x14ac:dyDescent="0.25">
      <c r="A106" s="196"/>
      <c r="B106" s="174"/>
      <c r="C106" s="200"/>
      <c r="D106" s="179"/>
      <c r="E106" s="179"/>
      <c r="F106" s="185"/>
      <c r="G106" s="186"/>
      <c r="H106" s="182"/>
      <c r="I106" s="193">
        <f t="shared" si="12"/>
        <v>0</v>
      </c>
      <c r="J106" s="192">
        <f t="shared" si="13"/>
        <v>0</v>
      </c>
      <c r="K106" s="173"/>
      <c r="L106" s="191">
        <f t="shared" si="11"/>
        <v>0</v>
      </c>
      <c r="M106" s="190">
        <f t="shared" si="14"/>
        <v>0</v>
      </c>
      <c r="N106" s="176"/>
      <c r="O106" s="176"/>
      <c r="P106" s="201"/>
      <c r="Q106" s="201"/>
      <c r="R106" s="309"/>
      <c r="S106" s="309"/>
    </row>
    <row r="107" spans="1:19" x14ac:dyDescent="0.25">
      <c r="A107" s="196"/>
      <c r="B107" s="174"/>
      <c r="C107" s="200"/>
      <c r="D107" s="179"/>
      <c r="E107" s="179"/>
      <c r="F107" s="185"/>
      <c r="G107" s="186"/>
      <c r="H107" s="182"/>
      <c r="I107" s="193">
        <f t="shared" si="12"/>
        <v>0</v>
      </c>
      <c r="J107" s="192">
        <f t="shared" si="13"/>
        <v>0</v>
      </c>
      <c r="K107" s="173"/>
      <c r="L107" s="191">
        <f t="shared" si="11"/>
        <v>0</v>
      </c>
      <c r="M107" s="190">
        <f t="shared" si="14"/>
        <v>0</v>
      </c>
      <c r="N107" s="176"/>
      <c r="O107" s="176"/>
      <c r="P107" s="201"/>
      <c r="Q107" s="201"/>
      <c r="R107" s="309"/>
      <c r="S107" s="309"/>
    </row>
    <row r="108" spans="1:19" x14ac:dyDescent="0.25">
      <c r="A108" s="196"/>
      <c r="B108" s="174"/>
      <c r="C108" s="200"/>
      <c r="D108" s="179"/>
      <c r="E108" s="179"/>
      <c r="F108" s="185"/>
      <c r="G108" s="186"/>
      <c r="H108" s="182"/>
      <c r="I108" s="193">
        <f t="shared" si="12"/>
        <v>0</v>
      </c>
      <c r="J108" s="192">
        <f t="shared" si="13"/>
        <v>0</v>
      </c>
      <c r="K108" s="173"/>
      <c r="L108" s="191">
        <f t="shared" si="11"/>
        <v>0</v>
      </c>
      <c r="M108" s="190">
        <f t="shared" si="14"/>
        <v>0</v>
      </c>
      <c r="N108" s="176"/>
      <c r="O108" s="176"/>
      <c r="P108" s="201"/>
      <c r="Q108" s="201"/>
      <c r="R108" s="309"/>
      <c r="S108" s="309"/>
    </row>
    <row r="109" spans="1:19" x14ac:dyDescent="0.25">
      <c r="A109" s="196"/>
      <c r="B109" s="174"/>
      <c r="C109" s="200"/>
      <c r="D109" s="179"/>
      <c r="E109" s="179"/>
      <c r="F109" s="185"/>
      <c r="G109" s="186"/>
      <c r="H109" s="182"/>
      <c r="I109" s="193">
        <f t="shared" si="12"/>
        <v>0</v>
      </c>
      <c r="J109" s="192">
        <f t="shared" si="13"/>
        <v>0</v>
      </c>
      <c r="K109" s="173"/>
      <c r="L109" s="191">
        <f t="shared" si="11"/>
        <v>0</v>
      </c>
      <c r="M109" s="190">
        <f t="shared" si="14"/>
        <v>0</v>
      </c>
      <c r="N109" s="176"/>
      <c r="O109" s="176"/>
      <c r="P109" s="201"/>
      <c r="Q109" s="201"/>
      <c r="R109" s="309"/>
      <c r="S109" s="309"/>
    </row>
    <row r="110" spans="1:19" x14ac:dyDescent="0.25">
      <c r="A110" s="196"/>
      <c r="B110" s="174"/>
      <c r="C110" s="200"/>
      <c r="D110" s="179"/>
      <c r="E110" s="179"/>
      <c r="F110" s="185"/>
      <c r="G110" s="186"/>
      <c r="H110" s="182"/>
      <c r="I110" s="193">
        <f t="shared" si="12"/>
        <v>0</v>
      </c>
      <c r="J110" s="192">
        <f t="shared" si="13"/>
        <v>0</v>
      </c>
      <c r="K110" s="173"/>
      <c r="L110" s="191">
        <f t="shared" si="11"/>
        <v>0</v>
      </c>
      <c r="M110" s="190">
        <f t="shared" si="14"/>
        <v>0</v>
      </c>
      <c r="N110" s="176"/>
      <c r="O110" s="176"/>
      <c r="P110" s="201"/>
      <c r="Q110" s="201"/>
      <c r="R110" s="309"/>
      <c r="S110" s="309"/>
    </row>
    <row r="111" spans="1:19" x14ac:dyDescent="0.25">
      <c r="A111" s="196"/>
      <c r="B111" s="174"/>
      <c r="C111" s="200"/>
      <c r="D111" s="179"/>
      <c r="E111" s="179"/>
      <c r="F111" s="185"/>
      <c r="G111" s="186"/>
      <c r="H111" s="182"/>
      <c r="I111" s="193">
        <f t="shared" si="12"/>
        <v>0</v>
      </c>
      <c r="J111" s="192">
        <f t="shared" si="13"/>
        <v>0</v>
      </c>
      <c r="K111" s="173"/>
      <c r="L111" s="191">
        <f t="shared" si="11"/>
        <v>0</v>
      </c>
      <c r="M111" s="190">
        <f t="shared" si="14"/>
        <v>0</v>
      </c>
      <c r="N111" s="176"/>
      <c r="O111" s="176"/>
      <c r="P111" s="201"/>
      <c r="Q111" s="201"/>
      <c r="R111" s="309"/>
      <c r="S111" s="309"/>
    </row>
    <row r="112" spans="1:19" x14ac:dyDescent="0.25">
      <c r="A112" s="196"/>
      <c r="B112" s="174"/>
      <c r="C112" s="200"/>
      <c r="D112" s="179"/>
      <c r="E112" s="179"/>
      <c r="F112" s="185"/>
      <c r="G112" s="186"/>
      <c r="H112" s="182"/>
      <c r="I112" s="193">
        <f t="shared" si="12"/>
        <v>0</v>
      </c>
      <c r="J112" s="192">
        <f t="shared" si="13"/>
        <v>0</v>
      </c>
      <c r="K112" s="173"/>
      <c r="L112" s="191">
        <f t="shared" si="11"/>
        <v>0</v>
      </c>
      <c r="M112" s="190">
        <f t="shared" si="14"/>
        <v>0</v>
      </c>
      <c r="N112" s="176"/>
      <c r="O112" s="176"/>
      <c r="P112" s="201"/>
      <c r="Q112" s="201"/>
      <c r="R112" s="309"/>
      <c r="S112" s="309"/>
    </row>
    <row r="113" spans="1:19" x14ac:dyDescent="0.25">
      <c r="A113" s="196"/>
      <c r="B113" s="174"/>
      <c r="C113" s="200"/>
      <c r="D113" s="179"/>
      <c r="E113" s="179"/>
      <c r="F113" s="185"/>
      <c r="G113" s="186"/>
      <c r="H113" s="182"/>
      <c r="I113" s="193">
        <f t="shared" si="12"/>
        <v>0</v>
      </c>
      <c r="J113" s="192">
        <f t="shared" si="13"/>
        <v>0</v>
      </c>
      <c r="K113" s="173"/>
      <c r="L113" s="191">
        <f t="shared" si="11"/>
        <v>0</v>
      </c>
      <c r="M113" s="190">
        <f t="shared" si="14"/>
        <v>0</v>
      </c>
      <c r="N113" s="176"/>
      <c r="O113" s="176"/>
      <c r="P113" s="201"/>
      <c r="Q113" s="201"/>
      <c r="R113" s="309"/>
      <c r="S113" s="309"/>
    </row>
    <row r="114" spans="1:19" x14ac:dyDescent="0.25">
      <c r="A114" s="196"/>
      <c r="B114" s="174"/>
      <c r="C114" s="200"/>
      <c r="D114" s="179"/>
      <c r="E114" s="179"/>
      <c r="F114" s="185"/>
      <c r="G114" s="186"/>
      <c r="H114" s="182"/>
      <c r="I114" s="193">
        <f t="shared" si="12"/>
        <v>0</v>
      </c>
      <c r="J114" s="192">
        <f t="shared" si="13"/>
        <v>0</v>
      </c>
      <c r="K114" s="173"/>
      <c r="L114" s="191">
        <f t="shared" si="11"/>
        <v>0</v>
      </c>
      <c r="M114" s="190">
        <f t="shared" si="14"/>
        <v>0</v>
      </c>
      <c r="N114" s="176"/>
      <c r="O114" s="176"/>
      <c r="P114" s="201"/>
      <c r="Q114" s="201"/>
      <c r="R114" s="309"/>
      <c r="S114" s="309"/>
    </row>
    <row r="115" spans="1:19" x14ac:dyDescent="0.25">
      <c r="A115" s="196"/>
      <c r="B115" s="174"/>
      <c r="C115" s="200"/>
      <c r="D115" s="179"/>
      <c r="E115" s="179"/>
      <c r="F115" s="185"/>
      <c r="G115" s="186"/>
      <c r="H115" s="182"/>
      <c r="I115" s="193">
        <f t="shared" si="12"/>
        <v>0</v>
      </c>
      <c r="J115" s="192">
        <f t="shared" si="13"/>
        <v>0</v>
      </c>
      <c r="K115" s="173"/>
      <c r="L115" s="191">
        <f t="shared" si="11"/>
        <v>0</v>
      </c>
      <c r="M115" s="190">
        <f t="shared" si="14"/>
        <v>0</v>
      </c>
      <c r="N115" s="176"/>
      <c r="O115" s="176"/>
      <c r="P115" s="201"/>
      <c r="Q115" s="201"/>
      <c r="R115" s="309"/>
      <c r="S115" s="309"/>
    </row>
    <row r="116" spans="1:19" x14ac:dyDescent="0.25">
      <c r="A116" s="196"/>
      <c r="B116" s="174"/>
      <c r="C116" s="200"/>
      <c r="D116" s="179"/>
      <c r="E116" s="179"/>
      <c r="F116" s="185"/>
      <c r="G116" s="186"/>
      <c r="H116" s="182"/>
      <c r="I116" s="193">
        <f t="shared" si="12"/>
        <v>0</v>
      </c>
      <c r="J116" s="192">
        <f t="shared" si="13"/>
        <v>0</v>
      </c>
      <c r="K116" s="173"/>
      <c r="L116" s="191">
        <f t="shared" si="11"/>
        <v>0</v>
      </c>
      <c r="M116" s="190">
        <f t="shared" si="14"/>
        <v>0</v>
      </c>
      <c r="N116" s="176"/>
      <c r="O116" s="176"/>
      <c r="P116" s="201"/>
      <c r="Q116" s="201"/>
      <c r="R116" s="309"/>
      <c r="S116" s="309"/>
    </row>
    <row r="117" spans="1:19" x14ac:dyDescent="0.25">
      <c r="A117" s="196"/>
      <c r="B117" s="174"/>
      <c r="C117" s="200"/>
      <c r="D117" s="179"/>
      <c r="E117" s="179"/>
      <c r="F117" s="185"/>
      <c r="G117" s="186"/>
      <c r="H117" s="182"/>
      <c r="I117" s="193">
        <f t="shared" si="12"/>
        <v>0</v>
      </c>
      <c r="J117" s="192">
        <f t="shared" si="13"/>
        <v>0</v>
      </c>
      <c r="K117" s="173"/>
      <c r="L117" s="191">
        <f t="shared" si="11"/>
        <v>0</v>
      </c>
      <c r="M117" s="190">
        <f t="shared" si="14"/>
        <v>0</v>
      </c>
      <c r="N117" s="176"/>
      <c r="O117" s="176"/>
      <c r="P117" s="201"/>
      <c r="Q117" s="201"/>
      <c r="R117" s="309"/>
      <c r="S117" s="309"/>
    </row>
    <row r="118" spans="1:19" x14ac:dyDescent="0.25">
      <c r="A118" s="196"/>
      <c r="B118" s="174"/>
      <c r="C118" s="200"/>
      <c r="D118" s="179"/>
      <c r="E118" s="179"/>
      <c r="F118" s="185"/>
      <c r="G118" s="186"/>
      <c r="H118" s="182"/>
      <c r="I118" s="193">
        <f t="shared" si="12"/>
        <v>0</v>
      </c>
      <c r="J118" s="192">
        <f t="shared" si="13"/>
        <v>0</v>
      </c>
      <c r="K118" s="173"/>
      <c r="L118" s="191">
        <f t="shared" si="11"/>
        <v>0</v>
      </c>
      <c r="M118" s="190">
        <f t="shared" si="14"/>
        <v>0</v>
      </c>
      <c r="N118" s="176"/>
      <c r="O118" s="176"/>
      <c r="P118" s="201"/>
      <c r="Q118" s="201"/>
      <c r="R118" s="309"/>
      <c r="S118" s="309"/>
    </row>
    <row r="119" spans="1:19" x14ac:dyDescent="0.25">
      <c r="A119" s="196"/>
      <c r="B119" s="174"/>
      <c r="C119" s="200"/>
      <c r="D119" s="179"/>
      <c r="E119" s="179"/>
      <c r="F119" s="185"/>
      <c r="G119" s="186"/>
      <c r="H119" s="182"/>
      <c r="I119" s="193">
        <f t="shared" si="12"/>
        <v>0</v>
      </c>
      <c r="J119" s="192">
        <f t="shared" si="13"/>
        <v>0</v>
      </c>
      <c r="K119" s="173"/>
      <c r="L119" s="191">
        <f t="shared" si="11"/>
        <v>0</v>
      </c>
      <c r="M119" s="190">
        <f t="shared" si="14"/>
        <v>0</v>
      </c>
      <c r="N119" s="176"/>
      <c r="O119" s="176"/>
      <c r="P119" s="201"/>
      <c r="Q119" s="201"/>
      <c r="R119" s="309"/>
      <c r="S119" s="309"/>
    </row>
    <row r="120" spans="1:19" x14ac:dyDescent="0.25">
      <c r="A120" s="196"/>
      <c r="B120" s="174"/>
      <c r="C120" s="200"/>
      <c r="D120" s="179"/>
      <c r="E120" s="179"/>
      <c r="F120" s="185"/>
      <c r="G120" s="186"/>
      <c r="H120" s="182"/>
      <c r="I120" s="193">
        <f t="shared" si="12"/>
        <v>0</v>
      </c>
      <c r="J120" s="192">
        <f t="shared" si="13"/>
        <v>0</v>
      </c>
      <c r="K120" s="173"/>
      <c r="L120" s="191">
        <f t="shared" si="11"/>
        <v>0</v>
      </c>
      <c r="M120" s="190">
        <f t="shared" si="14"/>
        <v>0</v>
      </c>
      <c r="N120" s="176"/>
      <c r="O120" s="176"/>
      <c r="P120" s="201"/>
      <c r="Q120" s="201"/>
      <c r="R120" s="309"/>
      <c r="S120" s="309"/>
    </row>
    <row r="121" spans="1:19" x14ac:dyDescent="0.25">
      <c r="A121" s="196"/>
      <c r="B121" s="174"/>
      <c r="C121" s="200"/>
      <c r="D121" s="179"/>
      <c r="E121" s="179"/>
      <c r="F121" s="185"/>
      <c r="G121" s="186"/>
      <c r="H121" s="182"/>
      <c r="I121" s="193">
        <f t="shared" si="12"/>
        <v>0</v>
      </c>
      <c r="J121" s="192">
        <f t="shared" si="13"/>
        <v>0</v>
      </c>
      <c r="K121" s="173"/>
      <c r="L121" s="191">
        <f t="shared" si="11"/>
        <v>0</v>
      </c>
      <c r="M121" s="190">
        <f t="shared" si="14"/>
        <v>0</v>
      </c>
      <c r="N121" s="176"/>
      <c r="O121" s="176"/>
      <c r="P121" s="201"/>
      <c r="Q121" s="201"/>
      <c r="R121" s="309"/>
      <c r="S121" s="309"/>
    </row>
    <row r="122" spans="1:19" x14ac:dyDescent="0.25">
      <c r="A122" s="196"/>
      <c r="B122" s="174"/>
      <c r="C122" s="200"/>
      <c r="D122" s="179"/>
      <c r="E122" s="179"/>
      <c r="F122" s="185"/>
      <c r="G122" s="186"/>
      <c r="H122" s="182"/>
      <c r="I122" s="193">
        <f t="shared" si="12"/>
        <v>0</v>
      </c>
      <c r="J122" s="192">
        <f t="shared" si="13"/>
        <v>0</v>
      </c>
      <c r="K122" s="173"/>
      <c r="L122" s="191">
        <f t="shared" si="11"/>
        <v>0</v>
      </c>
      <c r="M122" s="190">
        <f t="shared" si="14"/>
        <v>0</v>
      </c>
      <c r="N122" s="176"/>
      <c r="O122" s="176"/>
      <c r="P122" s="201"/>
      <c r="Q122" s="201"/>
      <c r="R122" s="309"/>
      <c r="S122" s="309"/>
    </row>
    <row r="123" spans="1:19" x14ac:dyDescent="0.25">
      <c r="A123" s="196"/>
      <c r="B123" s="174"/>
      <c r="C123" s="200"/>
      <c r="D123" s="179"/>
      <c r="E123" s="179"/>
      <c r="F123" s="185"/>
      <c r="G123" s="186"/>
      <c r="H123" s="182"/>
      <c r="I123" s="193">
        <f t="shared" si="12"/>
        <v>0</v>
      </c>
      <c r="J123" s="192">
        <f t="shared" si="13"/>
        <v>0</v>
      </c>
      <c r="K123" s="173"/>
      <c r="L123" s="191">
        <f t="shared" si="11"/>
        <v>0</v>
      </c>
      <c r="M123" s="190">
        <f t="shared" si="14"/>
        <v>0</v>
      </c>
      <c r="N123" s="176"/>
      <c r="O123" s="176"/>
      <c r="P123" s="201"/>
      <c r="Q123" s="201"/>
      <c r="R123" s="309"/>
      <c r="S123" s="309"/>
    </row>
    <row r="124" spans="1:19" x14ac:dyDescent="0.25">
      <c r="A124" s="196"/>
      <c r="B124" s="174"/>
      <c r="C124" s="200"/>
      <c r="D124" s="179"/>
      <c r="E124" s="179"/>
      <c r="F124" s="185"/>
      <c r="G124" s="186"/>
      <c r="H124" s="182"/>
      <c r="I124" s="193">
        <f t="shared" si="12"/>
        <v>0</v>
      </c>
      <c r="J124" s="192">
        <f t="shared" si="13"/>
        <v>0</v>
      </c>
      <c r="K124" s="173"/>
      <c r="L124" s="191">
        <f t="shared" si="11"/>
        <v>0</v>
      </c>
      <c r="M124" s="190">
        <f t="shared" si="14"/>
        <v>0</v>
      </c>
      <c r="N124" s="176"/>
      <c r="O124" s="176"/>
      <c r="P124" s="201"/>
      <c r="Q124" s="201"/>
      <c r="R124" s="309"/>
      <c r="S124" s="309"/>
    </row>
    <row r="125" spans="1:19" x14ac:dyDescent="0.25">
      <c r="A125" s="196"/>
      <c r="B125" s="174"/>
      <c r="C125" s="200"/>
      <c r="D125" s="179"/>
      <c r="E125" s="179"/>
      <c r="F125" s="185"/>
      <c r="G125" s="186"/>
      <c r="H125" s="182"/>
      <c r="I125" s="193">
        <f t="shared" si="12"/>
        <v>0</v>
      </c>
      <c r="J125" s="192">
        <f t="shared" si="13"/>
        <v>0</v>
      </c>
      <c r="K125" s="173"/>
      <c r="L125" s="191">
        <f t="shared" si="11"/>
        <v>0</v>
      </c>
      <c r="M125" s="190">
        <f t="shared" si="14"/>
        <v>0</v>
      </c>
      <c r="N125" s="176"/>
      <c r="O125" s="176"/>
      <c r="P125" s="201"/>
      <c r="Q125" s="201"/>
      <c r="R125" s="309"/>
      <c r="S125" s="309"/>
    </row>
    <row r="126" spans="1:19" x14ac:dyDescent="0.25">
      <c r="A126" s="196"/>
      <c r="B126" s="174"/>
      <c r="C126" s="200"/>
      <c r="D126" s="179"/>
      <c r="E126" s="179"/>
      <c r="F126" s="185"/>
      <c r="G126" s="186"/>
      <c r="H126" s="182"/>
      <c r="I126" s="193">
        <f t="shared" si="12"/>
        <v>0</v>
      </c>
      <c r="J126" s="192">
        <f t="shared" si="13"/>
        <v>0</v>
      </c>
      <c r="K126" s="173"/>
      <c r="L126" s="191">
        <f t="shared" si="11"/>
        <v>0</v>
      </c>
      <c r="M126" s="190">
        <f t="shared" si="14"/>
        <v>0</v>
      </c>
      <c r="N126" s="176"/>
      <c r="O126" s="176"/>
      <c r="P126" s="201"/>
      <c r="Q126" s="201"/>
      <c r="R126" s="309"/>
      <c r="S126" s="309"/>
    </row>
    <row r="127" spans="1:19" x14ac:dyDescent="0.25">
      <c r="A127" s="196"/>
      <c r="B127" s="174"/>
      <c r="C127" s="200"/>
      <c r="D127" s="179"/>
      <c r="E127" s="179"/>
      <c r="F127" s="185"/>
      <c r="G127" s="186"/>
      <c r="H127" s="182"/>
      <c r="I127" s="193">
        <f t="shared" si="12"/>
        <v>0</v>
      </c>
      <c r="J127" s="192">
        <f t="shared" si="13"/>
        <v>0</v>
      </c>
      <c r="K127" s="173"/>
      <c r="L127" s="191">
        <f t="shared" si="11"/>
        <v>0</v>
      </c>
      <c r="M127" s="190">
        <f t="shared" si="14"/>
        <v>0</v>
      </c>
      <c r="N127" s="176"/>
      <c r="O127" s="176"/>
      <c r="P127" s="201"/>
      <c r="Q127" s="201"/>
      <c r="R127" s="309"/>
      <c r="S127" s="309"/>
    </row>
    <row r="128" spans="1:19" x14ac:dyDescent="0.25">
      <c r="A128" s="196"/>
      <c r="B128" s="174"/>
      <c r="C128" s="200"/>
      <c r="D128" s="179"/>
      <c r="E128" s="179"/>
      <c r="F128" s="185"/>
      <c r="G128" s="186"/>
      <c r="H128" s="182"/>
      <c r="I128" s="193">
        <f t="shared" si="12"/>
        <v>0</v>
      </c>
      <c r="J128" s="192">
        <f t="shared" si="13"/>
        <v>0</v>
      </c>
      <c r="K128" s="173"/>
      <c r="L128" s="191">
        <f t="shared" si="11"/>
        <v>0</v>
      </c>
      <c r="M128" s="190">
        <f t="shared" si="14"/>
        <v>0</v>
      </c>
      <c r="N128" s="176"/>
      <c r="O128" s="176"/>
      <c r="P128" s="201"/>
      <c r="Q128" s="201"/>
      <c r="R128" s="309"/>
      <c r="S128" s="309"/>
    </row>
    <row r="129" spans="1:19" x14ac:dyDescent="0.25">
      <c r="A129" s="196"/>
      <c r="B129" s="174"/>
      <c r="C129" s="200"/>
      <c r="D129" s="179"/>
      <c r="E129" s="179"/>
      <c r="F129" s="185"/>
      <c r="G129" s="186"/>
      <c r="H129" s="182"/>
      <c r="I129" s="193">
        <f t="shared" si="12"/>
        <v>0</v>
      </c>
      <c r="J129" s="192">
        <f t="shared" si="13"/>
        <v>0</v>
      </c>
      <c r="K129" s="173"/>
      <c r="L129" s="191">
        <f t="shared" si="11"/>
        <v>0</v>
      </c>
      <c r="M129" s="190">
        <f t="shared" si="14"/>
        <v>0</v>
      </c>
      <c r="N129" s="176"/>
      <c r="O129" s="176"/>
      <c r="P129" s="201"/>
      <c r="Q129" s="201"/>
      <c r="R129" s="309"/>
      <c r="S129" s="309"/>
    </row>
    <row r="130" spans="1:19" x14ac:dyDescent="0.25">
      <c r="A130" s="196"/>
      <c r="B130" s="174"/>
      <c r="C130" s="200"/>
      <c r="D130" s="179"/>
      <c r="E130" s="179"/>
      <c r="F130" s="185"/>
      <c r="G130" s="186"/>
      <c r="H130" s="182"/>
      <c r="I130" s="193">
        <f t="shared" si="12"/>
        <v>0</v>
      </c>
      <c r="J130" s="192">
        <f t="shared" si="13"/>
        <v>0</v>
      </c>
      <c r="K130" s="173"/>
      <c r="L130" s="191">
        <f t="shared" si="11"/>
        <v>0</v>
      </c>
      <c r="M130" s="190">
        <f t="shared" si="14"/>
        <v>0</v>
      </c>
      <c r="N130" s="176"/>
      <c r="O130" s="176"/>
      <c r="P130" s="201"/>
      <c r="Q130" s="201"/>
      <c r="R130" s="309"/>
      <c r="S130" s="309"/>
    </row>
    <row r="131" spans="1:19" x14ac:dyDescent="0.25">
      <c r="A131" s="196"/>
      <c r="B131" s="174"/>
      <c r="C131" s="200"/>
      <c r="D131" s="179"/>
      <c r="E131" s="179"/>
      <c r="F131" s="185"/>
      <c r="G131" s="186"/>
      <c r="H131" s="182"/>
      <c r="I131" s="193">
        <f t="shared" si="12"/>
        <v>0</v>
      </c>
      <c r="J131" s="192">
        <f t="shared" si="13"/>
        <v>0</v>
      </c>
      <c r="K131" s="173"/>
      <c r="L131" s="191">
        <f t="shared" si="11"/>
        <v>0</v>
      </c>
      <c r="M131" s="190">
        <f t="shared" si="14"/>
        <v>0</v>
      </c>
      <c r="N131" s="176"/>
      <c r="O131" s="176"/>
      <c r="P131" s="201"/>
      <c r="Q131" s="201"/>
      <c r="R131" s="309"/>
      <c r="S131" s="309"/>
    </row>
    <row r="132" spans="1:19" x14ac:dyDescent="0.25">
      <c r="A132" s="196"/>
      <c r="B132" s="174"/>
      <c r="C132" s="200"/>
      <c r="D132" s="179"/>
      <c r="E132" s="179"/>
      <c r="F132" s="185"/>
      <c r="G132" s="186"/>
      <c r="H132" s="182"/>
      <c r="I132" s="193">
        <f t="shared" si="12"/>
        <v>0</v>
      </c>
      <c r="J132" s="192">
        <f t="shared" si="13"/>
        <v>0</v>
      </c>
      <c r="K132" s="173"/>
      <c r="L132" s="191">
        <f t="shared" ref="L132:L195" si="15">K132*I132</f>
        <v>0</v>
      </c>
      <c r="M132" s="190">
        <f t="shared" si="14"/>
        <v>0</v>
      </c>
      <c r="N132" s="176"/>
      <c r="O132" s="176"/>
      <c r="P132" s="201"/>
      <c r="Q132" s="201"/>
      <c r="R132" s="309"/>
      <c r="S132" s="309"/>
    </row>
    <row r="133" spans="1:19" x14ac:dyDescent="0.25">
      <c r="A133" s="196"/>
      <c r="B133" s="174"/>
      <c r="C133" s="200"/>
      <c r="D133" s="179"/>
      <c r="E133" s="179"/>
      <c r="F133" s="185"/>
      <c r="G133" s="186"/>
      <c r="H133" s="182"/>
      <c r="I133" s="193">
        <f t="shared" ref="I133:I196" si="16">F133*G133</f>
        <v>0</v>
      </c>
      <c r="J133" s="192">
        <f t="shared" si="13"/>
        <v>0</v>
      </c>
      <c r="K133" s="173"/>
      <c r="L133" s="191">
        <f t="shared" si="15"/>
        <v>0</v>
      </c>
      <c r="M133" s="190">
        <f t="shared" si="14"/>
        <v>0</v>
      </c>
      <c r="N133" s="176"/>
      <c r="O133" s="176"/>
      <c r="P133" s="201"/>
      <c r="Q133" s="201"/>
      <c r="R133" s="309"/>
      <c r="S133" s="309"/>
    </row>
    <row r="134" spans="1:19" x14ac:dyDescent="0.25">
      <c r="A134" s="196"/>
      <c r="B134" s="174"/>
      <c r="C134" s="200"/>
      <c r="D134" s="179"/>
      <c r="E134" s="179"/>
      <c r="F134" s="185"/>
      <c r="G134" s="186"/>
      <c r="H134" s="182"/>
      <c r="I134" s="193">
        <f t="shared" si="16"/>
        <v>0</v>
      </c>
      <c r="J134" s="192">
        <f t="shared" ref="J134:J197" si="17">F134*H134</f>
        <v>0</v>
      </c>
      <c r="K134" s="173"/>
      <c r="L134" s="191">
        <f t="shared" si="15"/>
        <v>0</v>
      </c>
      <c r="M134" s="190">
        <f t="shared" ref="M134:M197" si="18">K134*J134</f>
        <v>0</v>
      </c>
      <c r="N134" s="176"/>
      <c r="O134" s="176"/>
      <c r="P134" s="201"/>
      <c r="Q134" s="201"/>
      <c r="R134" s="309"/>
      <c r="S134" s="309"/>
    </row>
    <row r="135" spans="1:19" x14ac:dyDescent="0.25">
      <c r="A135" s="196"/>
      <c r="B135" s="174"/>
      <c r="C135" s="200"/>
      <c r="D135" s="179"/>
      <c r="E135" s="179"/>
      <c r="F135" s="185"/>
      <c r="G135" s="186"/>
      <c r="H135" s="182"/>
      <c r="I135" s="193">
        <f t="shared" si="16"/>
        <v>0</v>
      </c>
      <c r="J135" s="192">
        <f t="shared" si="17"/>
        <v>0</v>
      </c>
      <c r="K135" s="173"/>
      <c r="L135" s="191">
        <f t="shared" si="15"/>
        <v>0</v>
      </c>
      <c r="M135" s="190">
        <f t="shared" si="18"/>
        <v>0</v>
      </c>
      <c r="N135" s="176"/>
      <c r="O135" s="176"/>
      <c r="P135" s="201"/>
      <c r="Q135" s="201"/>
      <c r="R135" s="309"/>
      <c r="S135" s="309"/>
    </row>
    <row r="136" spans="1:19" x14ac:dyDescent="0.25">
      <c r="A136" s="196"/>
      <c r="B136" s="174"/>
      <c r="C136" s="200"/>
      <c r="D136" s="179"/>
      <c r="E136" s="179"/>
      <c r="F136" s="185"/>
      <c r="G136" s="186"/>
      <c r="H136" s="182"/>
      <c r="I136" s="193">
        <f t="shared" si="16"/>
        <v>0</v>
      </c>
      <c r="J136" s="192">
        <f t="shared" si="17"/>
        <v>0</v>
      </c>
      <c r="K136" s="173"/>
      <c r="L136" s="191">
        <f t="shared" si="15"/>
        <v>0</v>
      </c>
      <c r="M136" s="190">
        <f t="shared" si="18"/>
        <v>0</v>
      </c>
      <c r="N136" s="176"/>
      <c r="O136" s="176"/>
      <c r="P136" s="201"/>
      <c r="Q136" s="201"/>
      <c r="R136" s="309"/>
      <c r="S136" s="309"/>
    </row>
    <row r="137" spans="1:19" x14ac:dyDescent="0.25">
      <c r="A137" s="196"/>
      <c r="B137" s="174"/>
      <c r="C137" s="200"/>
      <c r="D137" s="179"/>
      <c r="E137" s="179"/>
      <c r="F137" s="185"/>
      <c r="G137" s="186"/>
      <c r="H137" s="182"/>
      <c r="I137" s="193">
        <f t="shared" si="16"/>
        <v>0</v>
      </c>
      <c r="J137" s="192">
        <f t="shared" si="17"/>
        <v>0</v>
      </c>
      <c r="K137" s="173"/>
      <c r="L137" s="191">
        <f t="shared" si="15"/>
        <v>0</v>
      </c>
      <c r="M137" s="190">
        <f t="shared" si="18"/>
        <v>0</v>
      </c>
      <c r="N137" s="176"/>
      <c r="O137" s="176"/>
      <c r="P137" s="201"/>
      <c r="Q137" s="201"/>
      <c r="R137" s="309"/>
      <c r="S137" s="309"/>
    </row>
    <row r="138" spans="1:19" x14ac:dyDescent="0.25">
      <c r="A138" s="196"/>
      <c r="B138" s="174"/>
      <c r="C138" s="200"/>
      <c r="D138" s="179"/>
      <c r="E138" s="179"/>
      <c r="F138" s="185"/>
      <c r="G138" s="186"/>
      <c r="H138" s="182"/>
      <c r="I138" s="193">
        <f t="shared" si="16"/>
        <v>0</v>
      </c>
      <c r="J138" s="192">
        <f t="shared" si="17"/>
        <v>0</v>
      </c>
      <c r="K138" s="173"/>
      <c r="L138" s="191">
        <f t="shared" si="15"/>
        <v>0</v>
      </c>
      <c r="M138" s="190">
        <f t="shared" si="18"/>
        <v>0</v>
      </c>
      <c r="N138" s="176"/>
      <c r="O138" s="176"/>
      <c r="P138" s="201"/>
      <c r="Q138" s="201"/>
      <c r="R138" s="309"/>
      <c r="S138" s="309"/>
    </row>
    <row r="139" spans="1:19" x14ac:dyDescent="0.25">
      <c r="A139" s="196"/>
      <c r="B139" s="174"/>
      <c r="C139" s="200"/>
      <c r="D139" s="179"/>
      <c r="E139" s="179"/>
      <c r="F139" s="185"/>
      <c r="G139" s="186"/>
      <c r="H139" s="182"/>
      <c r="I139" s="193">
        <f t="shared" si="16"/>
        <v>0</v>
      </c>
      <c r="J139" s="192">
        <f t="shared" si="17"/>
        <v>0</v>
      </c>
      <c r="K139" s="173"/>
      <c r="L139" s="191">
        <f t="shared" si="15"/>
        <v>0</v>
      </c>
      <c r="M139" s="190">
        <f t="shared" si="18"/>
        <v>0</v>
      </c>
      <c r="N139" s="176"/>
      <c r="O139" s="176"/>
      <c r="P139" s="201"/>
      <c r="Q139" s="201"/>
      <c r="R139" s="309"/>
      <c r="S139" s="309"/>
    </row>
    <row r="140" spans="1:19" x14ac:dyDescent="0.25">
      <c r="A140" s="196"/>
      <c r="B140" s="174"/>
      <c r="C140" s="200"/>
      <c r="D140" s="179"/>
      <c r="E140" s="179"/>
      <c r="F140" s="185"/>
      <c r="G140" s="186"/>
      <c r="H140" s="182"/>
      <c r="I140" s="193">
        <f t="shared" si="16"/>
        <v>0</v>
      </c>
      <c r="J140" s="192">
        <f t="shared" si="17"/>
        <v>0</v>
      </c>
      <c r="K140" s="173"/>
      <c r="L140" s="191">
        <f t="shared" si="15"/>
        <v>0</v>
      </c>
      <c r="M140" s="190">
        <f t="shared" si="18"/>
        <v>0</v>
      </c>
      <c r="N140" s="176"/>
      <c r="O140" s="176"/>
      <c r="P140" s="201"/>
      <c r="Q140" s="201"/>
      <c r="R140" s="309"/>
      <c r="S140" s="309"/>
    </row>
    <row r="141" spans="1:19" x14ac:dyDescent="0.25">
      <c r="A141" s="196"/>
      <c r="B141" s="174"/>
      <c r="C141" s="200"/>
      <c r="D141" s="179"/>
      <c r="E141" s="179"/>
      <c r="F141" s="185"/>
      <c r="G141" s="186"/>
      <c r="H141" s="182"/>
      <c r="I141" s="193">
        <f t="shared" si="16"/>
        <v>0</v>
      </c>
      <c r="J141" s="192">
        <f t="shared" si="17"/>
        <v>0</v>
      </c>
      <c r="K141" s="173"/>
      <c r="L141" s="191">
        <f t="shared" si="15"/>
        <v>0</v>
      </c>
      <c r="M141" s="190">
        <f t="shared" si="18"/>
        <v>0</v>
      </c>
      <c r="N141" s="176"/>
      <c r="O141" s="176"/>
      <c r="P141" s="201"/>
      <c r="Q141" s="201"/>
      <c r="R141" s="309"/>
      <c r="S141" s="309"/>
    </row>
    <row r="142" spans="1:19" x14ac:dyDescent="0.25">
      <c r="A142" s="196"/>
      <c r="B142" s="174"/>
      <c r="C142" s="200"/>
      <c r="D142" s="179"/>
      <c r="E142" s="179"/>
      <c r="F142" s="185"/>
      <c r="G142" s="186"/>
      <c r="H142" s="182"/>
      <c r="I142" s="193">
        <f t="shared" si="16"/>
        <v>0</v>
      </c>
      <c r="J142" s="192">
        <f t="shared" si="17"/>
        <v>0</v>
      </c>
      <c r="K142" s="173"/>
      <c r="L142" s="191">
        <f t="shared" si="15"/>
        <v>0</v>
      </c>
      <c r="M142" s="190">
        <f t="shared" si="18"/>
        <v>0</v>
      </c>
      <c r="N142" s="176"/>
      <c r="O142" s="176"/>
      <c r="P142" s="201"/>
      <c r="Q142" s="201"/>
      <c r="R142" s="309"/>
      <c r="S142" s="309"/>
    </row>
    <row r="143" spans="1:19" x14ac:dyDescent="0.25">
      <c r="A143" s="196"/>
      <c r="B143" s="174"/>
      <c r="C143" s="200"/>
      <c r="D143" s="179"/>
      <c r="E143" s="179"/>
      <c r="F143" s="185"/>
      <c r="G143" s="186"/>
      <c r="H143" s="182"/>
      <c r="I143" s="193">
        <f t="shared" si="16"/>
        <v>0</v>
      </c>
      <c r="J143" s="192">
        <f t="shared" si="17"/>
        <v>0</v>
      </c>
      <c r="K143" s="173"/>
      <c r="L143" s="191">
        <f t="shared" si="15"/>
        <v>0</v>
      </c>
      <c r="M143" s="190">
        <f t="shared" si="18"/>
        <v>0</v>
      </c>
      <c r="N143" s="176"/>
      <c r="O143" s="176"/>
      <c r="P143" s="201"/>
      <c r="Q143" s="201"/>
      <c r="R143" s="309"/>
      <c r="S143" s="309"/>
    </row>
    <row r="144" spans="1:19" x14ac:dyDescent="0.25">
      <c r="A144" s="196"/>
      <c r="B144" s="174"/>
      <c r="C144" s="200"/>
      <c r="D144" s="179"/>
      <c r="E144" s="179"/>
      <c r="F144" s="185"/>
      <c r="G144" s="186"/>
      <c r="H144" s="182"/>
      <c r="I144" s="193">
        <f t="shared" si="16"/>
        <v>0</v>
      </c>
      <c r="J144" s="192">
        <f t="shared" si="17"/>
        <v>0</v>
      </c>
      <c r="K144" s="173"/>
      <c r="L144" s="191">
        <f t="shared" si="15"/>
        <v>0</v>
      </c>
      <c r="M144" s="190">
        <f t="shared" si="18"/>
        <v>0</v>
      </c>
      <c r="N144" s="176"/>
      <c r="O144" s="176"/>
      <c r="P144" s="201"/>
      <c r="Q144" s="201"/>
      <c r="R144" s="309"/>
      <c r="S144" s="309"/>
    </row>
    <row r="145" spans="1:19" x14ac:dyDescent="0.25">
      <c r="A145" s="196"/>
      <c r="B145" s="174"/>
      <c r="C145" s="200"/>
      <c r="D145" s="179"/>
      <c r="E145" s="179"/>
      <c r="F145" s="185"/>
      <c r="G145" s="186"/>
      <c r="H145" s="182"/>
      <c r="I145" s="193">
        <f t="shared" si="16"/>
        <v>0</v>
      </c>
      <c r="J145" s="192">
        <f t="shared" si="17"/>
        <v>0</v>
      </c>
      <c r="K145" s="173"/>
      <c r="L145" s="191">
        <f t="shared" si="15"/>
        <v>0</v>
      </c>
      <c r="M145" s="190">
        <f t="shared" si="18"/>
        <v>0</v>
      </c>
      <c r="N145" s="176"/>
      <c r="O145" s="176"/>
      <c r="P145" s="201"/>
      <c r="Q145" s="201"/>
      <c r="R145" s="309"/>
      <c r="S145" s="309"/>
    </row>
    <row r="146" spans="1:19" x14ac:dyDescent="0.25">
      <c r="A146" s="196"/>
      <c r="B146" s="174"/>
      <c r="C146" s="200"/>
      <c r="D146" s="179"/>
      <c r="E146" s="179"/>
      <c r="F146" s="185"/>
      <c r="G146" s="186"/>
      <c r="H146" s="182"/>
      <c r="I146" s="193">
        <f t="shared" si="16"/>
        <v>0</v>
      </c>
      <c r="J146" s="192">
        <f t="shared" si="17"/>
        <v>0</v>
      </c>
      <c r="K146" s="173"/>
      <c r="L146" s="191">
        <f t="shared" si="15"/>
        <v>0</v>
      </c>
      <c r="M146" s="190">
        <f t="shared" si="18"/>
        <v>0</v>
      </c>
      <c r="N146" s="176"/>
      <c r="O146" s="176"/>
      <c r="P146" s="201"/>
      <c r="Q146" s="201"/>
      <c r="R146" s="309"/>
      <c r="S146" s="309"/>
    </row>
    <row r="147" spans="1:19" x14ac:dyDescent="0.25">
      <c r="A147" s="196"/>
      <c r="B147" s="174"/>
      <c r="C147" s="200"/>
      <c r="D147" s="179"/>
      <c r="E147" s="179"/>
      <c r="F147" s="185"/>
      <c r="G147" s="186"/>
      <c r="H147" s="182"/>
      <c r="I147" s="193">
        <f t="shared" si="16"/>
        <v>0</v>
      </c>
      <c r="J147" s="192">
        <f t="shared" si="17"/>
        <v>0</v>
      </c>
      <c r="K147" s="173"/>
      <c r="L147" s="191">
        <f t="shared" si="15"/>
        <v>0</v>
      </c>
      <c r="M147" s="190">
        <f t="shared" si="18"/>
        <v>0</v>
      </c>
      <c r="N147" s="176"/>
      <c r="O147" s="176"/>
      <c r="P147" s="201"/>
      <c r="Q147" s="201"/>
      <c r="R147" s="309"/>
      <c r="S147" s="309"/>
    </row>
    <row r="148" spans="1:19" x14ac:dyDescent="0.25">
      <c r="A148" s="196"/>
      <c r="B148" s="174"/>
      <c r="C148" s="200"/>
      <c r="D148" s="179"/>
      <c r="E148" s="179"/>
      <c r="F148" s="185"/>
      <c r="G148" s="186"/>
      <c r="H148" s="182"/>
      <c r="I148" s="193">
        <f t="shared" si="16"/>
        <v>0</v>
      </c>
      <c r="J148" s="192">
        <f t="shared" si="17"/>
        <v>0</v>
      </c>
      <c r="K148" s="173"/>
      <c r="L148" s="191">
        <f t="shared" si="15"/>
        <v>0</v>
      </c>
      <c r="M148" s="190">
        <f t="shared" si="18"/>
        <v>0</v>
      </c>
      <c r="N148" s="176"/>
      <c r="O148" s="176"/>
      <c r="P148" s="201"/>
      <c r="Q148" s="201"/>
      <c r="R148" s="309"/>
      <c r="S148" s="309"/>
    </row>
    <row r="149" spans="1:19" x14ac:dyDescent="0.25">
      <c r="A149" s="196"/>
      <c r="B149" s="174"/>
      <c r="C149" s="200"/>
      <c r="D149" s="179"/>
      <c r="E149" s="179"/>
      <c r="F149" s="185"/>
      <c r="G149" s="186"/>
      <c r="H149" s="182"/>
      <c r="I149" s="193">
        <f t="shared" si="16"/>
        <v>0</v>
      </c>
      <c r="J149" s="192">
        <f t="shared" si="17"/>
        <v>0</v>
      </c>
      <c r="K149" s="173"/>
      <c r="L149" s="191">
        <f t="shared" si="15"/>
        <v>0</v>
      </c>
      <c r="M149" s="190">
        <f t="shared" si="18"/>
        <v>0</v>
      </c>
      <c r="N149" s="176"/>
      <c r="O149" s="176"/>
      <c r="P149" s="201"/>
      <c r="Q149" s="201"/>
      <c r="R149" s="309"/>
      <c r="S149" s="309"/>
    </row>
    <row r="150" spans="1:19" x14ac:dyDescent="0.25">
      <c r="A150" s="196"/>
      <c r="B150" s="174"/>
      <c r="C150" s="200"/>
      <c r="D150" s="179"/>
      <c r="E150" s="179"/>
      <c r="F150" s="185"/>
      <c r="G150" s="186"/>
      <c r="H150" s="182"/>
      <c r="I150" s="193">
        <f t="shared" si="16"/>
        <v>0</v>
      </c>
      <c r="J150" s="192">
        <f t="shared" si="17"/>
        <v>0</v>
      </c>
      <c r="K150" s="173"/>
      <c r="L150" s="191">
        <f t="shared" si="15"/>
        <v>0</v>
      </c>
      <c r="M150" s="190">
        <f t="shared" si="18"/>
        <v>0</v>
      </c>
      <c r="N150" s="176"/>
      <c r="O150" s="176"/>
      <c r="P150" s="201"/>
      <c r="Q150" s="201"/>
      <c r="R150" s="309"/>
      <c r="S150" s="309"/>
    </row>
    <row r="151" spans="1:19" x14ac:dyDescent="0.25">
      <c r="A151" s="196"/>
      <c r="B151" s="174"/>
      <c r="C151" s="200"/>
      <c r="D151" s="179"/>
      <c r="E151" s="179"/>
      <c r="F151" s="185"/>
      <c r="G151" s="186"/>
      <c r="H151" s="182"/>
      <c r="I151" s="193">
        <f t="shared" si="16"/>
        <v>0</v>
      </c>
      <c r="J151" s="192">
        <f t="shared" si="17"/>
        <v>0</v>
      </c>
      <c r="K151" s="173"/>
      <c r="L151" s="191">
        <f t="shared" si="15"/>
        <v>0</v>
      </c>
      <c r="M151" s="190">
        <f t="shared" si="18"/>
        <v>0</v>
      </c>
      <c r="N151" s="176"/>
      <c r="O151" s="176"/>
      <c r="P151" s="201"/>
      <c r="Q151" s="201"/>
      <c r="R151" s="309"/>
      <c r="S151" s="309"/>
    </row>
    <row r="152" spans="1:19" x14ac:dyDescent="0.25">
      <c r="A152" s="196"/>
      <c r="B152" s="174"/>
      <c r="C152" s="200"/>
      <c r="D152" s="179"/>
      <c r="E152" s="179"/>
      <c r="F152" s="185"/>
      <c r="G152" s="186"/>
      <c r="H152" s="182"/>
      <c r="I152" s="193">
        <f t="shared" si="16"/>
        <v>0</v>
      </c>
      <c r="J152" s="192">
        <f t="shared" si="17"/>
        <v>0</v>
      </c>
      <c r="K152" s="173"/>
      <c r="L152" s="191">
        <f t="shared" si="15"/>
        <v>0</v>
      </c>
      <c r="M152" s="190">
        <f t="shared" si="18"/>
        <v>0</v>
      </c>
      <c r="N152" s="176"/>
      <c r="O152" s="176"/>
      <c r="P152" s="201"/>
      <c r="Q152" s="201"/>
      <c r="R152" s="309"/>
      <c r="S152" s="309"/>
    </row>
    <row r="153" spans="1:19" x14ac:dyDescent="0.25">
      <c r="A153" s="196"/>
      <c r="B153" s="174"/>
      <c r="C153" s="200"/>
      <c r="D153" s="179"/>
      <c r="E153" s="179"/>
      <c r="F153" s="185"/>
      <c r="G153" s="186"/>
      <c r="H153" s="182"/>
      <c r="I153" s="193">
        <f t="shared" si="16"/>
        <v>0</v>
      </c>
      <c r="J153" s="192">
        <f t="shared" si="17"/>
        <v>0</v>
      </c>
      <c r="K153" s="173"/>
      <c r="L153" s="191">
        <f t="shared" si="15"/>
        <v>0</v>
      </c>
      <c r="M153" s="190">
        <f t="shared" si="18"/>
        <v>0</v>
      </c>
      <c r="N153" s="176"/>
      <c r="O153" s="176"/>
      <c r="P153" s="201"/>
      <c r="Q153" s="201"/>
      <c r="R153" s="309"/>
      <c r="S153" s="309"/>
    </row>
    <row r="154" spans="1:19" x14ac:dyDescent="0.25">
      <c r="A154" s="196"/>
      <c r="B154" s="174"/>
      <c r="C154" s="200"/>
      <c r="D154" s="179"/>
      <c r="E154" s="179"/>
      <c r="F154" s="185"/>
      <c r="G154" s="186"/>
      <c r="H154" s="182"/>
      <c r="I154" s="193">
        <f t="shared" si="16"/>
        <v>0</v>
      </c>
      <c r="J154" s="192">
        <f t="shared" si="17"/>
        <v>0</v>
      </c>
      <c r="K154" s="173"/>
      <c r="L154" s="191">
        <f t="shared" si="15"/>
        <v>0</v>
      </c>
      <c r="M154" s="190">
        <f t="shared" si="18"/>
        <v>0</v>
      </c>
      <c r="N154" s="176"/>
      <c r="O154" s="176"/>
      <c r="P154" s="201"/>
      <c r="Q154" s="201"/>
      <c r="R154" s="309"/>
      <c r="S154" s="309"/>
    </row>
    <row r="155" spans="1:19" x14ac:dyDescent="0.25">
      <c r="A155" s="196"/>
      <c r="B155" s="174"/>
      <c r="C155" s="200"/>
      <c r="D155" s="179"/>
      <c r="E155" s="179"/>
      <c r="F155" s="185"/>
      <c r="G155" s="186"/>
      <c r="H155" s="182"/>
      <c r="I155" s="193">
        <f t="shared" si="16"/>
        <v>0</v>
      </c>
      <c r="J155" s="192">
        <f t="shared" si="17"/>
        <v>0</v>
      </c>
      <c r="K155" s="173"/>
      <c r="L155" s="191">
        <f t="shared" si="15"/>
        <v>0</v>
      </c>
      <c r="M155" s="190">
        <f t="shared" si="18"/>
        <v>0</v>
      </c>
      <c r="N155" s="176"/>
      <c r="O155" s="176"/>
      <c r="P155" s="201"/>
      <c r="Q155" s="201"/>
      <c r="R155" s="309"/>
      <c r="S155" s="309"/>
    </row>
    <row r="156" spans="1:19" x14ac:dyDescent="0.25">
      <c r="A156" s="196"/>
      <c r="B156" s="174"/>
      <c r="C156" s="200"/>
      <c r="D156" s="179"/>
      <c r="E156" s="179"/>
      <c r="F156" s="185"/>
      <c r="G156" s="186"/>
      <c r="H156" s="182"/>
      <c r="I156" s="193">
        <f t="shared" si="16"/>
        <v>0</v>
      </c>
      <c r="J156" s="192">
        <f t="shared" si="17"/>
        <v>0</v>
      </c>
      <c r="K156" s="173"/>
      <c r="L156" s="191">
        <f t="shared" si="15"/>
        <v>0</v>
      </c>
      <c r="M156" s="190">
        <f t="shared" si="18"/>
        <v>0</v>
      </c>
      <c r="N156" s="176"/>
      <c r="O156" s="176"/>
      <c r="P156" s="201"/>
      <c r="Q156" s="201"/>
      <c r="R156" s="309"/>
      <c r="S156" s="309"/>
    </row>
    <row r="157" spans="1:19" x14ac:dyDescent="0.25">
      <c r="A157" s="196"/>
      <c r="B157" s="174"/>
      <c r="C157" s="200"/>
      <c r="D157" s="179"/>
      <c r="E157" s="179"/>
      <c r="F157" s="185"/>
      <c r="G157" s="186"/>
      <c r="H157" s="182"/>
      <c r="I157" s="193">
        <f t="shared" si="16"/>
        <v>0</v>
      </c>
      <c r="J157" s="192">
        <f t="shared" si="17"/>
        <v>0</v>
      </c>
      <c r="K157" s="173"/>
      <c r="L157" s="191">
        <f t="shared" si="15"/>
        <v>0</v>
      </c>
      <c r="M157" s="190">
        <f t="shared" si="18"/>
        <v>0</v>
      </c>
      <c r="N157" s="176"/>
      <c r="O157" s="176"/>
      <c r="P157" s="201"/>
      <c r="Q157" s="201"/>
      <c r="R157" s="309"/>
      <c r="S157" s="309"/>
    </row>
    <row r="158" spans="1:19" x14ac:dyDescent="0.25">
      <c r="A158" s="196"/>
      <c r="B158" s="174"/>
      <c r="C158" s="200"/>
      <c r="D158" s="179"/>
      <c r="E158" s="179"/>
      <c r="F158" s="185"/>
      <c r="G158" s="186"/>
      <c r="H158" s="182"/>
      <c r="I158" s="193">
        <f t="shared" si="16"/>
        <v>0</v>
      </c>
      <c r="J158" s="192">
        <f t="shared" si="17"/>
        <v>0</v>
      </c>
      <c r="K158" s="173"/>
      <c r="L158" s="191">
        <f t="shared" si="15"/>
        <v>0</v>
      </c>
      <c r="M158" s="190">
        <f t="shared" si="18"/>
        <v>0</v>
      </c>
      <c r="N158" s="176"/>
      <c r="O158" s="176"/>
      <c r="P158" s="201"/>
      <c r="Q158" s="201"/>
      <c r="R158" s="309"/>
      <c r="S158" s="309"/>
    </row>
    <row r="159" spans="1:19" x14ac:dyDescent="0.25">
      <c r="A159" s="196"/>
      <c r="B159" s="174"/>
      <c r="C159" s="200"/>
      <c r="D159" s="179"/>
      <c r="E159" s="179"/>
      <c r="F159" s="185"/>
      <c r="G159" s="186"/>
      <c r="H159" s="182"/>
      <c r="I159" s="193">
        <f t="shared" si="16"/>
        <v>0</v>
      </c>
      <c r="J159" s="192">
        <f t="shared" si="17"/>
        <v>0</v>
      </c>
      <c r="K159" s="173"/>
      <c r="L159" s="191">
        <f t="shared" si="15"/>
        <v>0</v>
      </c>
      <c r="M159" s="190">
        <f t="shared" si="18"/>
        <v>0</v>
      </c>
      <c r="N159" s="176"/>
      <c r="O159" s="176"/>
      <c r="P159" s="201"/>
      <c r="Q159" s="201"/>
      <c r="R159" s="309"/>
      <c r="S159" s="309"/>
    </row>
    <row r="160" spans="1:19" x14ac:dyDescent="0.25">
      <c r="A160" s="196"/>
      <c r="B160" s="174"/>
      <c r="C160" s="200"/>
      <c r="D160" s="179"/>
      <c r="E160" s="179"/>
      <c r="F160" s="185"/>
      <c r="G160" s="186"/>
      <c r="H160" s="182"/>
      <c r="I160" s="193">
        <f t="shared" si="16"/>
        <v>0</v>
      </c>
      <c r="J160" s="192">
        <f t="shared" si="17"/>
        <v>0</v>
      </c>
      <c r="K160" s="173"/>
      <c r="L160" s="191">
        <f t="shared" si="15"/>
        <v>0</v>
      </c>
      <c r="M160" s="190">
        <f t="shared" si="18"/>
        <v>0</v>
      </c>
      <c r="N160" s="176"/>
      <c r="O160" s="176"/>
      <c r="P160" s="201"/>
      <c r="Q160" s="201"/>
      <c r="R160" s="309"/>
      <c r="S160" s="309"/>
    </row>
    <row r="161" spans="1:19" x14ac:dyDescent="0.25">
      <c r="A161" s="196"/>
      <c r="B161" s="174"/>
      <c r="C161" s="200"/>
      <c r="D161" s="179"/>
      <c r="E161" s="179"/>
      <c r="F161" s="185"/>
      <c r="G161" s="186"/>
      <c r="H161" s="182"/>
      <c r="I161" s="193">
        <f t="shared" si="16"/>
        <v>0</v>
      </c>
      <c r="J161" s="192">
        <f t="shared" si="17"/>
        <v>0</v>
      </c>
      <c r="K161" s="173"/>
      <c r="L161" s="191">
        <f t="shared" si="15"/>
        <v>0</v>
      </c>
      <c r="M161" s="190">
        <f t="shared" si="18"/>
        <v>0</v>
      </c>
      <c r="N161" s="176"/>
      <c r="O161" s="176"/>
      <c r="P161" s="201"/>
      <c r="Q161" s="201"/>
      <c r="R161" s="309"/>
      <c r="S161" s="309"/>
    </row>
    <row r="162" spans="1:19" x14ac:dyDescent="0.25">
      <c r="A162" s="196"/>
      <c r="B162" s="174"/>
      <c r="C162" s="200"/>
      <c r="D162" s="179"/>
      <c r="E162" s="179"/>
      <c r="F162" s="185"/>
      <c r="G162" s="186"/>
      <c r="H162" s="182"/>
      <c r="I162" s="193">
        <f t="shared" si="16"/>
        <v>0</v>
      </c>
      <c r="J162" s="192">
        <f t="shared" si="17"/>
        <v>0</v>
      </c>
      <c r="K162" s="173"/>
      <c r="L162" s="191">
        <f t="shared" si="15"/>
        <v>0</v>
      </c>
      <c r="M162" s="190">
        <f t="shared" si="18"/>
        <v>0</v>
      </c>
      <c r="N162" s="176"/>
      <c r="O162" s="176"/>
      <c r="P162" s="201"/>
      <c r="Q162" s="201"/>
      <c r="R162" s="309"/>
      <c r="S162" s="309"/>
    </row>
    <row r="163" spans="1:19" x14ac:dyDescent="0.25">
      <c r="A163" s="196"/>
      <c r="B163" s="174"/>
      <c r="C163" s="200"/>
      <c r="D163" s="179"/>
      <c r="E163" s="179"/>
      <c r="F163" s="185"/>
      <c r="G163" s="186"/>
      <c r="H163" s="182"/>
      <c r="I163" s="193">
        <f t="shared" si="16"/>
        <v>0</v>
      </c>
      <c r="J163" s="192">
        <f t="shared" si="17"/>
        <v>0</v>
      </c>
      <c r="K163" s="173"/>
      <c r="L163" s="191">
        <f t="shared" si="15"/>
        <v>0</v>
      </c>
      <c r="M163" s="190">
        <f t="shared" si="18"/>
        <v>0</v>
      </c>
      <c r="N163" s="176"/>
      <c r="O163" s="176"/>
      <c r="P163" s="201"/>
      <c r="Q163" s="201"/>
      <c r="R163" s="309"/>
      <c r="S163" s="309"/>
    </row>
    <row r="164" spans="1:19" x14ac:dyDescent="0.25">
      <c r="A164" s="196"/>
      <c r="B164" s="174"/>
      <c r="C164" s="200"/>
      <c r="D164" s="179"/>
      <c r="E164" s="179"/>
      <c r="F164" s="185"/>
      <c r="G164" s="186"/>
      <c r="H164" s="182"/>
      <c r="I164" s="193">
        <f t="shared" si="16"/>
        <v>0</v>
      </c>
      <c r="J164" s="192">
        <f t="shared" si="17"/>
        <v>0</v>
      </c>
      <c r="K164" s="173"/>
      <c r="L164" s="191">
        <f t="shared" si="15"/>
        <v>0</v>
      </c>
      <c r="M164" s="190">
        <f t="shared" si="18"/>
        <v>0</v>
      </c>
      <c r="N164" s="176"/>
      <c r="O164" s="176"/>
      <c r="P164" s="201"/>
      <c r="Q164" s="201"/>
      <c r="R164" s="309"/>
      <c r="S164" s="309"/>
    </row>
    <row r="165" spans="1:19" x14ac:dyDescent="0.25">
      <c r="A165" s="196"/>
      <c r="B165" s="174"/>
      <c r="C165" s="200"/>
      <c r="D165" s="179"/>
      <c r="E165" s="179"/>
      <c r="F165" s="185"/>
      <c r="G165" s="186"/>
      <c r="H165" s="182"/>
      <c r="I165" s="193">
        <f t="shared" si="16"/>
        <v>0</v>
      </c>
      <c r="J165" s="192">
        <f t="shared" si="17"/>
        <v>0</v>
      </c>
      <c r="K165" s="173"/>
      <c r="L165" s="191">
        <f t="shared" si="15"/>
        <v>0</v>
      </c>
      <c r="M165" s="190">
        <f t="shared" si="18"/>
        <v>0</v>
      </c>
      <c r="N165" s="176"/>
      <c r="O165" s="176"/>
      <c r="P165" s="201"/>
      <c r="Q165" s="201"/>
      <c r="R165" s="309"/>
      <c r="S165" s="309"/>
    </row>
    <row r="166" spans="1:19" x14ac:dyDescent="0.25">
      <c r="A166" s="196"/>
      <c r="B166" s="174"/>
      <c r="C166" s="200"/>
      <c r="D166" s="179"/>
      <c r="E166" s="179"/>
      <c r="F166" s="185"/>
      <c r="G166" s="186"/>
      <c r="H166" s="182"/>
      <c r="I166" s="193">
        <f t="shared" si="16"/>
        <v>0</v>
      </c>
      <c r="J166" s="192">
        <f t="shared" si="17"/>
        <v>0</v>
      </c>
      <c r="K166" s="173"/>
      <c r="L166" s="191">
        <f t="shared" si="15"/>
        <v>0</v>
      </c>
      <c r="M166" s="190">
        <f t="shared" si="18"/>
        <v>0</v>
      </c>
      <c r="N166" s="176"/>
      <c r="O166" s="176"/>
      <c r="P166" s="201"/>
      <c r="Q166" s="201"/>
      <c r="R166" s="309"/>
      <c r="S166" s="309"/>
    </row>
    <row r="167" spans="1:19" x14ac:dyDescent="0.25">
      <c r="A167" s="196"/>
      <c r="B167" s="174"/>
      <c r="C167" s="200"/>
      <c r="D167" s="179"/>
      <c r="E167" s="179"/>
      <c r="F167" s="185"/>
      <c r="G167" s="186"/>
      <c r="H167" s="182"/>
      <c r="I167" s="193">
        <f t="shared" si="16"/>
        <v>0</v>
      </c>
      <c r="J167" s="192">
        <f t="shared" si="17"/>
        <v>0</v>
      </c>
      <c r="K167" s="173"/>
      <c r="L167" s="191">
        <f t="shared" si="15"/>
        <v>0</v>
      </c>
      <c r="M167" s="190">
        <f t="shared" si="18"/>
        <v>0</v>
      </c>
      <c r="N167" s="176"/>
      <c r="O167" s="176"/>
      <c r="P167" s="201"/>
      <c r="Q167" s="201"/>
      <c r="R167" s="309"/>
      <c r="S167" s="309"/>
    </row>
    <row r="168" spans="1:19" x14ac:dyDescent="0.25">
      <c r="A168" s="196"/>
      <c r="B168" s="174"/>
      <c r="C168" s="200"/>
      <c r="D168" s="179"/>
      <c r="E168" s="179"/>
      <c r="F168" s="185"/>
      <c r="G168" s="186"/>
      <c r="H168" s="182"/>
      <c r="I168" s="193">
        <f t="shared" si="16"/>
        <v>0</v>
      </c>
      <c r="J168" s="192">
        <f t="shared" si="17"/>
        <v>0</v>
      </c>
      <c r="K168" s="173"/>
      <c r="L168" s="191">
        <f t="shared" si="15"/>
        <v>0</v>
      </c>
      <c r="M168" s="190">
        <f t="shared" si="18"/>
        <v>0</v>
      </c>
      <c r="N168" s="176"/>
      <c r="O168" s="176"/>
      <c r="P168" s="201"/>
      <c r="Q168" s="201"/>
      <c r="R168" s="309"/>
      <c r="S168" s="309"/>
    </row>
    <row r="169" spans="1:19" x14ac:dyDescent="0.25">
      <c r="A169" s="196"/>
      <c r="B169" s="174"/>
      <c r="C169" s="200"/>
      <c r="D169" s="179"/>
      <c r="E169" s="179"/>
      <c r="F169" s="185"/>
      <c r="G169" s="186"/>
      <c r="H169" s="182"/>
      <c r="I169" s="193">
        <f t="shared" si="16"/>
        <v>0</v>
      </c>
      <c r="J169" s="192">
        <f t="shared" si="17"/>
        <v>0</v>
      </c>
      <c r="K169" s="173"/>
      <c r="L169" s="191">
        <f t="shared" si="15"/>
        <v>0</v>
      </c>
      <c r="M169" s="190">
        <f t="shared" si="18"/>
        <v>0</v>
      </c>
      <c r="N169" s="176"/>
      <c r="O169" s="176"/>
      <c r="P169" s="201"/>
      <c r="Q169" s="201"/>
      <c r="R169" s="309"/>
      <c r="S169" s="309"/>
    </row>
    <row r="170" spans="1:19" x14ac:dyDescent="0.25">
      <c r="A170" s="196"/>
      <c r="B170" s="174"/>
      <c r="C170" s="200"/>
      <c r="D170" s="179"/>
      <c r="E170" s="179"/>
      <c r="F170" s="185"/>
      <c r="G170" s="186"/>
      <c r="H170" s="182"/>
      <c r="I170" s="193">
        <f t="shared" si="16"/>
        <v>0</v>
      </c>
      <c r="J170" s="192">
        <f t="shared" si="17"/>
        <v>0</v>
      </c>
      <c r="K170" s="173"/>
      <c r="L170" s="191">
        <f t="shared" si="15"/>
        <v>0</v>
      </c>
      <c r="M170" s="190">
        <f t="shared" si="18"/>
        <v>0</v>
      </c>
      <c r="N170" s="176"/>
      <c r="O170" s="176"/>
      <c r="P170" s="201"/>
      <c r="Q170" s="201"/>
      <c r="R170" s="309"/>
      <c r="S170" s="309"/>
    </row>
    <row r="171" spans="1:19" x14ac:dyDescent="0.25">
      <c r="A171" s="196"/>
      <c r="B171" s="174"/>
      <c r="C171" s="200"/>
      <c r="D171" s="179"/>
      <c r="E171" s="179"/>
      <c r="F171" s="185"/>
      <c r="G171" s="186"/>
      <c r="H171" s="182"/>
      <c r="I171" s="193">
        <f t="shared" si="16"/>
        <v>0</v>
      </c>
      <c r="J171" s="192">
        <f t="shared" si="17"/>
        <v>0</v>
      </c>
      <c r="K171" s="173"/>
      <c r="L171" s="191">
        <f t="shared" si="15"/>
        <v>0</v>
      </c>
      <c r="M171" s="190">
        <f t="shared" si="18"/>
        <v>0</v>
      </c>
      <c r="N171" s="176"/>
      <c r="O171" s="176"/>
      <c r="P171" s="201"/>
      <c r="Q171" s="201"/>
      <c r="R171" s="309"/>
      <c r="S171" s="309"/>
    </row>
    <row r="172" spans="1:19" x14ac:dyDescent="0.25">
      <c r="A172" s="196"/>
      <c r="B172" s="174"/>
      <c r="C172" s="200"/>
      <c r="D172" s="179"/>
      <c r="E172" s="179"/>
      <c r="F172" s="185"/>
      <c r="G172" s="186"/>
      <c r="H172" s="182"/>
      <c r="I172" s="193">
        <f t="shared" si="16"/>
        <v>0</v>
      </c>
      <c r="J172" s="192">
        <f t="shared" si="17"/>
        <v>0</v>
      </c>
      <c r="K172" s="173"/>
      <c r="L172" s="191">
        <f t="shared" si="15"/>
        <v>0</v>
      </c>
      <c r="M172" s="190">
        <f t="shared" si="18"/>
        <v>0</v>
      </c>
      <c r="N172" s="176"/>
      <c r="O172" s="176"/>
      <c r="P172" s="201"/>
      <c r="Q172" s="201"/>
      <c r="R172" s="309"/>
      <c r="S172" s="309"/>
    </row>
    <row r="173" spans="1:19" x14ac:dyDescent="0.25">
      <c r="A173" s="196"/>
      <c r="B173" s="174"/>
      <c r="C173" s="200"/>
      <c r="D173" s="179"/>
      <c r="E173" s="179"/>
      <c r="F173" s="185"/>
      <c r="G173" s="186"/>
      <c r="H173" s="182"/>
      <c r="I173" s="193">
        <f t="shared" si="16"/>
        <v>0</v>
      </c>
      <c r="J173" s="192">
        <f t="shared" si="17"/>
        <v>0</v>
      </c>
      <c r="K173" s="173"/>
      <c r="L173" s="191">
        <f t="shared" si="15"/>
        <v>0</v>
      </c>
      <c r="M173" s="190">
        <f t="shared" si="18"/>
        <v>0</v>
      </c>
      <c r="N173" s="176"/>
      <c r="O173" s="176"/>
      <c r="P173" s="201"/>
      <c r="Q173" s="201"/>
      <c r="R173" s="309"/>
      <c r="S173" s="309"/>
    </row>
    <row r="174" spans="1:19" x14ac:dyDescent="0.25">
      <c r="A174" s="196"/>
      <c r="B174" s="174"/>
      <c r="C174" s="200"/>
      <c r="D174" s="179"/>
      <c r="E174" s="179"/>
      <c r="F174" s="185"/>
      <c r="G174" s="186"/>
      <c r="H174" s="182"/>
      <c r="I174" s="193">
        <f t="shared" si="16"/>
        <v>0</v>
      </c>
      <c r="J174" s="192">
        <f t="shared" si="17"/>
        <v>0</v>
      </c>
      <c r="K174" s="173"/>
      <c r="L174" s="191">
        <f t="shared" si="15"/>
        <v>0</v>
      </c>
      <c r="M174" s="190">
        <f t="shared" si="18"/>
        <v>0</v>
      </c>
      <c r="N174" s="176"/>
      <c r="O174" s="176"/>
      <c r="P174" s="201"/>
      <c r="Q174" s="201"/>
      <c r="R174" s="309"/>
      <c r="S174" s="309"/>
    </row>
    <row r="175" spans="1:19" x14ac:dyDescent="0.25">
      <c r="A175" s="196"/>
      <c r="B175" s="174"/>
      <c r="C175" s="200"/>
      <c r="D175" s="179"/>
      <c r="E175" s="179"/>
      <c r="F175" s="185"/>
      <c r="G175" s="186"/>
      <c r="H175" s="182"/>
      <c r="I175" s="193">
        <f t="shared" si="16"/>
        <v>0</v>
      </c>
      <c r="J175" s="192">
        <f t="shared" si="17"/>
        <v>0</v>
      </c>
      <c r="K175" s="173"/>
      <c r="L175" s="191">
        <f t="shared" si="15"/>
        <v>0</v>
      </c>
      <c r="M175" s="190">
        <f t="shared" si="18"/>
        <v>0</v>
      </c>
      <c r="N175" s="176"/>
      <c r="O175" s="176"/>
      <c r="P175" s="201"/>
      <c r="Q175" s="201"/>
      <c r="R175" s="309"/>
      <c r="S175" s="309"/>
    </row>
    <row r="176" spans="1:19" x14ac:dyDescent="0.25">
      <c r="A176" s="196"/>
      <c r="B176" s="174"/>
      <c r="C176" s="200"/>
      <c r="D176" s="179"/>
      <c r="E176" s="179"/>
      <c r="F176" s="185"/>
      <c r="G176" s="186"/>
      <c r="H176" s="182"/>
      <c r="I176" s="193">
        <f t="shared" si="16"/>
        <v>0</v>
      </c>
      <c r="J176" s="192">
        <f t="shared" si="17"/>
        <v>0</v>
      </c>
      <c r="K176" s="173"/>
      <c r="L176" s="191">
        <f t="shared" si="15"/>
        <v>0</v>
      </c>
      <c r="M176" s="190">
        <f t="shared" si="18"/>
        <v>0</v>
      </c>
      <c r="N176" s="176"/>
      <c r="O176" s="176"/>
      <c r="P176" s="201"/>
      <c r="Q176" s="201"/>
      <c r="R176" s="309"/>
      <c r="S176" s="309"/>
    </row>
    <row r="177" spans="1:19" x14ac:dyDescent="0.25">
      <c r="A177" s="196"/>
      <c r="B177" s="174"/>
      <c r="C177" s="200"/>
      <c r="D177" s="179"/>
      <c r="E177" s="179"/>
      <c r="F177" s="185"/>
      <c r="G177" s="186"/>
      <c r="H177" s="182"/>
      <c r="I177" s="193">
        <f t="shared" si="16"/>
        <v>0</v>
      </c>
      <c r="J177" s="192">
        <f t="shared" si="17"/>
        <v>0</v>
      </c>
      <c r="K177" s="173"/>
      <c r="L177" s="191">
        <f t="shared" si="15"/>
        <v>0</v>
      </c>
      <c r="M177" s="190">
        <f t="shared" si="18"/>
        <v>0</v>
      </c>
      <c r="N177" s="176"/>
      <c r="O177" s="176"/>
      <c r="P177" s="201"/>
      <c r="Q177" s="201"/>
      <c r="R177" s="309"/>
      <c r="S177" s="309"/>
    </row>
    <row r="178" spans="1:19" x14ac:dyDescent="0.25">
      <c r="A178" s="196"/>
      <c r="B178" s="174"/>
      <c r="C178" s="200"/>
      <c r="D178" s="179"/>
      <c r="E178" s="179"/>
      <c r="F178" s="185"/>
      <c r="G178" s="186"/>
      <c r="H178" s="182"/>
      <c r="I178" s="193">
        <f t="shared" si="16"/>
        <v>0</v>
      </c>
      <c r="J178" s="192">
        <f t="shared" si="17"/>
        <v>0</v>
      </c>
      <c r="K178" s="173"/>
      <c r="L178" s="191">
        <f t="shared" si="15"/>
        <v>0</v>
      </c>
      <c r="M178" s="190">
        <f t="shared" si="18"/>
        <v>0</v>
      </c>
      <c r="N178" s="176"/>
      <c r="O178" s="176"/>
      <c r="P178" s="201"/>
      <c r="Q178" s="201"/>
      <c r="R178" s="309"/>
      <c r="S178" s="309"/>
    </row>
    <row r="179" spans="1:19" x14ac:dyDescent="0.25">
      <c r="A179" s="196"/>
      <c r="B179" s="174"/>
      <c r="C179" s="200"/>
      <c r="D179" s="179"/>
      <c r="E179" s="179"/>
      <c r="F179" s="185"/>
      <c r="G179" s="186"/>
      <c r="H179" s="182"/>
      <c r="I179" s="193">
        <f t="shared" si="16"/>
        <v>0</v>
      </c>
      <c r="J179" s="192">
        <f t="shared" si="17"/>
        <v>0</v>
      </c>
      <c r="K179" s="173"/>
      <c r="L179" s="191">
        <f t="shared" si="15"/>
        <v>0</v>
      </c>
      <c r="M179" s="190">
        <f t="shared" si="18"/>
        <v>0</v>
      </c>
      <c r="N179" s="176"/>
      <c r="O179" s="176"/>
      <c r="P179" s="201"/>
      <c r="Q179" s="201"/>
      <c r="R179" s="309"/>
      <c r="S179" s="309"/>
    </row>
    <row r="180" spans="1:19" x14ac:dyDescent="0.25">
      <c r="A180" s="196"/>
      <c r="B180" s="174"/>
      <c r="C180" s="200"/>
      <c r="D180" s="179"/>
      <c r="E180" s="179"/>
      <c r="F180" s="185"/>
      <c r="G180" s="186"/>
      <c r="H180" s="182"/>
      <c r="I180" s="193">
        <f t="shared" si="16"/>
        <v>0</v>
      </c>
      <c r="J180" s="192">
        <f t="shared" si="17"/>
        <v>0</v>
      </c>
      <c r="K180" s="173"/>
      <c r="L180" s="191">
        <f t="shared" si="15"/>
        <v>0</v>
      </c>
      <c r="M180" s="190">
        <f t="shared" si="18"/>
        <v>0</v>
      </c>
      <c r="N180" s="176"/>
      <c r="O180" s="176"/>
      <c r="P180" s="201"/>
      <c r="Q180" s="201"/>
      <c r="R180" s="309"/>
      <c r="S180" s="309"/>
    </row>
    <row r="181" spans="1:19" x14ac:dyDescent="0.25">
      <c r="A181" s="196"/>
      <c r="B181" s="174"/>
      <c r="C181" s="200"/>
      <c r="D181" s="179"/>
      <c r="E181" s="179"/>
      <c r="F181" s="185"/>
      <c r="G181" s="186"/>
      <c r="H181" s="182"/>
      <c r="I181" s="193">
        <f t="shared" si="16"/>
        <v>0</v>
      </c>
      <c r="J181" s="192">
        <f t="shared" si="17"/>
        <v>0</v>
      </c>
      <c r="K181" s="173"/>
      <c r="L181" s="191">
        <f t="shared" si="15"/>
        <v>0</v>
      </c>
      <c r="M181" s="190">
        <f t="shared" si="18"/>
        <v>0</v>
      </c>
      <c r="N181" s="176"/>
      <c r="O181" s="176"/>
      <c r="P181" s="201"/>
      <c r="Q181" s="201"/>
      <c r="R181" s="309"/>
      <c r="S181" s="309"/>
    </row>
    <row r="182" spans="1:19" x14ac:dyDescent="0.25">
      <c r="A182" s="196"/>
      <c r="B182" s="174"/>
      <c r="C182" s="200"/>
      <c r="D182" s="179"/>
      <c r="E182" s="179"/>
      <c r="F182" s="185"/>
      <c r="G182" s="186"/>
      <c r="H182" s="182"/>
      <c r="I182" s="193">
        <f t="shared" si="16"/>
        <v>0</v>
      </c>
      <c r="J182" s="192">
        <f t="shared" si="17"/>
        <v>0</v>
      </c>
      <c r="K182" s="173"/>
      <c r="L182" s="191">
        <f t="shared" si="15"/>
        <v>0</v>
      </c>
      <c r="M182" s="190">
        <f t="shared" si="18"/>
        <v>0</v>
      </c>
      <c r="N182" s="176"/>
      <c r="O182" s="176"/>
      <c r="P182" s="201"/>
      <c r="Q182" s="201"/>
      <c r="R182" s="309"/>
      <c r="S182" s="309"/>
    </row>
    <row r="183" spans="1:19" x14ac:dyDescent="0.25">
      <c r="A183" s="196"/>
      <c r="B183" s="174"/>
      <c r="C183" s="200"/>
      <c r="D183" s="179"/>
      <c r="E183" s="179"/>
      <c r="F183" s="185"/>
      <c r="G183" s="186"/>
      <c r="H183" s="182"/>
      <c r="I183" s="193">
        <f t="shared" si="16"/>
        <v>0</v>
      </c>
      <c r="J183" s="192">
        <f t="shared" si="17"/>
        <v>0</v>
      </c>
      <c r="K183" s="173"/>
      <c r="L183" s="191">
        <f t="shared" si="15"/>
        <v>0</v>
      </c>
      <c r="M183" s="190">
        <f t="shared" si="18"/>
        <v>0</v>
      </c>
      <c r="N183" s="176"/>
      <c r="O183" s="176"/>
      <c r="P183" s="201"/>
      <c r="Q183" s="201"/>
      <c r="R183" s="309"/>
      <c r="S183" s="309"/>
    </row>
    <row r="184" spans="1:19" x14ac:dyDescent="0.25">
      <c r="A184" s="196"/>
      <c r="B184" s="174"/>
      <c r="C184" s="200"/>
      <c r="D184" s="179"/>
      <c r="E184" s="179"/>
      <c r="F184" s="185"/>
      <c r="G184" s="186"/>
      <c r="H184" s="182"/>
      <c r="I184" s="193">
        <f t="shared" si="16"/>
        <v>0</v>
      </c>
      <c r="J184" s="192">
        <f t="shared" si="17"/>
        <v>0</v>
      </c>
      <c r="K184" s="173"/>
      <c r="L184" s="191">
        <f t="shared" si="15"/>
        <v>0</v>
      </c>
      <c r="M184" s="190">
        <f t="shared" si="18"/>
        <v>0</v>
      </c>
      <c r="N184" s="176"/>
      <c r="O184" s="176"/>
      <c r="P184" s="201"/>
      <c r="Q184" s="201"/>
      <c r="R184" s="309"/>
      <c r="S184" s="309"/>
    </row>
    <row r="185" spans="1:19" x14ac:dyDescent="0.25">
      <c r="A185" s="196"/>
      <c r="B185" s="174"/>
      <c r="C185" s="200"/>
      <c r="D185" s="179"/>
      <c r="E185" s="179"/>
      <c r="F185" s="185"/>
      <c r="G185" s="186"/>
      <c r="H185" s="182"/>
      <c r="I185" s="193">
        <f t="shared" si="16"/>
        <v>0</v>
      </c>
      <c r="J185" s="192">
        <f t="shared" si="17"/>
        <v>0</v>
      </c>
      <c r="K185" s="173"/>
      <c r="L185" s="191">
        <f t="shared" si="15"/>
        <v>0</v>
      </c>
      <c r="M185" s="190">
        <f t="shared" si="18"/>
        <v>0</v>
      </c>
      <c r="N185" s="176"/>
      <c r="O185" s="176"/>
      <c r="P185" s="201"/>
      <c r="Q185" s="201"/>
      <c r="R185" s="309"/>
      <c r="S185" s="309"/>
    </row>
    <row r="186" spans="1:19" x14ac:dyDescent="0.25">
      <c r="A186" s="196"/>
      <c r="B186" s="174"/>
      <c r="C186" s="200"/>
      <c r="D186" s="179"/>
      <c r="E186" s="179"/>
      <c r="F186" s="185"/>
      <c r="G186" s="186"/>
      <c r="H186" s="182"/>
      <c r="I186" s="193">
        <f t="shared" si="16"/>
        <v>0</v>
      </c>
      <c r="J186" s="192">
        <f t="shared" si="17"/>
        <v>0</v>
      </c>
      <c r="K186" s="173"/>
      <c r="L186" s="191">
        <f t="shared" si="15"/>
        <v>0</v>
      </c>
      <c r="M186" s="190">
        <f t="shared" si="18"/>
        <v>0</v>
      </c>
      <c r="N186" s="176"/>
      <c r="O186" s="176"/>
      <c r="P186" s="201"/>
      <c r="Q186" s="201"/>
      <c r="R186" s="309"/>
      <c r="S186" s="309"/>
    </row>
    <row r="187" spans="1:19" x14ac:dyDescent="0.25">
      <c r="A187" s="196"/>
      <c r="B187" s="174"/>
      <c r="C187" s="200"/>
      <c r="D187" s="179"/>
      <c r="E187" s="179"/>
      <c r="F187" s="185"/>
      <c r="G187" s="186"/>
      <c r="H187" s="182"/>
      <c r="I187" s="193">
        <f t="shared" si="16"/>
        <v>0</v>
      </c>
      <c r="J187" s="192">
        <f t="shared" si="17"/>
        <v>0</v>
      </c>
      <c r="K187" s="173"/>
      <c r="L187" s="191">
        <f t="shared" si="15"/>
        <v>0</v>
      </c>
      <c r="M187" s="190">
        <f t="shared" si="18"/>
        <v>0</v>
      </c>
      <c r="N187" s="176"/>
      <c r="O187" s="176"/>
      <c r="P187" s="201"/>
      <c r="Q187" s="201"/>
      <c r="R187" s="309"/>
      <c r="S187" s="309"/>
    </row>
    <row r="188" spans="1:19" x14ac:dyDescent="0.25">
      <c r="A188" s="196"/>
      <c r="B188" s="174"/>
      <c r="C188" s="200"/>
      <c r="D188" s="179"/>
      <c r="E188" s="179"/>
      <c r="F188" s="185"/>
      <c r="G188" s="186"/>
      <c r="H188" s="182"/>
      <c r="I188" s="193">
        <f t="shared" si="16"/>
        <v>0</v>
      </c>
      <c r="J188" s="192">
        <f t="shared" si="17"/>
        <v>0</v>
      </c>
      <c r="K188" s="173"/>
      <c r="L188" s="191">
        <f t="shared" si="15"/>
        <v>0</v>
      </c>
      <c r="M188" s="190">
        <f t="shared" si="18"/>
        <v>0</v>
      </c>
      <c r="N188" s="176"/>
      <c r="O188" s="176"/>
      <c r="P188" s="201"/>
      <c r="Q188" s="201"/>
      <c r="R188" s="309"/>
      <c r="S188" s="309"/>
    </row>
    <row r="189" spans="1:19" x14ac:dyDescent="0.25">
      <c r="A189" s="196"/>
      <c r="B189" s="174"/>
      <c r="C189" s="200"/>
      <c r="D189" s="179"/>
      <c r="E189" s="179"/>
      <c r="F189" s="185"/>
      <c r="G189" s="186"/>
      <c r="H189" s="182"/>
      <c r="I189" s="193">
        <f t="shared" si="16"/>
        <v>0</v>
      </c>
      <c r="J189" s="192">
        <f t="shared" si="17"/>
        <v>0</v>
      </c>
      <c r="K189" s="173"/>
      <c r="L189" s="191">
        <f t="shared" si="15"/>
        <v>0</v>
      </c>
      <c r="M189" s="190">
        <f t="shared" si="18"/>
        <v>0</v>
      </c>
      <c r="N189" s="176"/>
      <c r="O189" s="176"/>
      <c r="P189" s="201"/>
      <c r="Q189" s="201"/>
      <c r="R189" s="309"/>
      <c r="S189" s="309"/>
    </row>
    <row r="190" spans="1:19" x14ac:dyDescent="0.25">
      <c r="A190" s="196"/>
      <c r="B190" s="174"/>
      <c r="C190" s="200"/>
      <c r="D190" s="179"/>
      <c r="E190" s="179"/>
      <c r="F190" s="185"/>
      <c r="G190" s="186"/>
      <c r="H190" s="182"/>
      <c r="I190" s="193">
        <f t="shared" si="16"/>
        <v>0</v>
      </c>
      <c r="J190" s="192">
        <f t="shared" si="17"/>
        <v>0</v>
      </c>
      <c r="K190" s="173"/>
      <c r="L190" s="191">
        <f t="shared" si="15"/>
        <v>0</v>
      </c>
      <c r="M190" s="190">
        <f t="shared" si="18"/>
        <v>0</v>
      </c>
      <c r="N190" s="176"/>
      <c r="O190" s="176"/>
      <c r="P190" s="201"/>
      <c r="Q190" s="201"/>
      <c r="R190" s="309"/>
      <c r="S190" s="309"/>
    </row>
    <row r="191" spans="1:19" x14ac:dyDescent="0.25">
      <c r="A191" s="196"/>
      <c r="B191" s="174"/>
      <c r="C191" s="200"/>
      <c r="D191" s="179"/>
      <c r="E191" s="179"/>
      <c r="F191" s="185"/>
      <c r="G191" s="186"/>
      <c r="H191" s="182"/>
      <c r="I191" s="193">
        <f t="shared" si="16"/>
        <v>0</v>
      </c>
      <c r="J191" s="192">
        <f t="shared" si="17"/>
        <v>0</v>
      </c>
      <c r="K191" s="173"/>
      <c r="L191" s="191">
        <f t="shared" si="15"/>
        <v>0</v>
      </c>
      <c r="M191" s="190">
        <f t="shared" si="18"/>
        <v>0</v>
      </c>
      <c r="N191" s="176"/>
      <c r="O191" s="176"/>
      <c r="P191" s="201"/>
      <c r="Q191" s="201"/>
      <c r="R191" s="309"/>
      <c r="S191" s="309"/>
    </row>
    <row r="192" spans="1:19" x14ac:dyDescent="0.25">
      <c r="A192" s="196"/>
      <c r="B192" s="174"/>
      <c r="C192" s="200"/>
      <c r="D192" s="179"/>
      <c r="E192" s="179"/>
      <c r="F192" s="185"/>
      <c r="G192" s="186"/>
      <c r="H192" s="182"/>
      <c r="I192" s="193">
        <f t="shared" si="16"/>
        <v>0</v>
      </c>
      <c r="J192" s="192">
        <f t="shared" si="17"/>
        <v>0</v>
      </c>
      <c r="K192" s="173"/>
      <c r="L192" s="191">
        <f t="shared" si="15"/>
        <v>0</v>
      </c>
      <c r="M192" s="190">
        <f t="shared" si="18"/>
        <v>0</v>
      </c>
      <c r="N192" s="176"/>
      <c r="O192" s="176"/>
      <c r="P192" s="201"/>
      <c r="Q192" s="201"/>
      <c r="R192" s="309"/>
      <c r="S192" s="309"/>
    </row>
    <row r="193" spans="1:19" x14ac:dyDescent="0.25">
      <c r="A193" s="196"/>
      <c r="B193" s="174"/>
      <c r="C193" s="200"/>
      <c r="D193" s="179"/>
      <c r="E193" s="179"/>
      <c r="F193" s="185"/>
      <c r="G193" s="186"/>
      <c r="H193" s="182"/>
      <c r="I193" s="193">
        <f t="shared" si="16"/>
        <v>0</v>
      </c>
      <c r="J193" s="192">
        <f t="shared" si="17"/>
        <v>0</v>
      </c>
      <c r="K193" s="173"/>
      <c r="L193" s="191">
        <f t="shared" si="15"/>
        <v>0</v>
      </c>
      <c r="M193" s="190">
        <f t="shared" si="18"/>
        <v>0</v>
      </c>
      <c r="N193" s="176"/>
      <c r="O193" s="176"/>
      <c r="P193" s="201"/>
      <c r="Q193" s="201"/>
      <c r="R193" s="309"/>
      <c r="S193" s="309"/>
    </row>
    <row r="194" spans="1:19" x14ac:dyDescent="0.25">
      <c r="A194" s="196"/>
      <c r="B194" s="174"/>
      <c r="C194" s="200"/>
      <c r="D194" s="179"/>
      <c r="E194" s="179"/>
      <c r="F194" s="185"/>
      <c r="G194" s="186"/>
      <c r="H194" s="182"/>
      <c r="I194" s="193">
        <f t="shared" si="16"/>
        <v>0</v>
      </c>
      <c r="J194" s="192">
        <f t="shared" si="17"/>
        <v>0</v>
      </c>
      <c r="K194" s="173"/>
      <c r="L194" s="191">
        <f t="shared" si="15"/>
        <v>0</v>
      </c>
      <c r="M194" s="190">
        <f t="shared" si="18"/>
        <v>0</v>
      </c>
      <c r="N194" s="176"/>
      <c r="O194" s="176"/>
      <c r="P194" s="201"/>
      <c r="Q194" s="201"/>
      <c r="R194" s="309"/>
      <c r="S194" s="309"/>
    </row>
    <row r="195" spans="1:19" x14ac:dyDescent="0.25">
      <c r="A195" s="196"/>
      <c r="B195" s="174"/>
      <c r="C195" s="200"/>
      <c r="D195" s="179"/>
      <c r="E195" s="179"/>
      <c r="F195" s="185"/>
      <c r="G195" s="186"/>
      <c r="H195" s="182"/>
      <c r="I195" s="193">
        <f t="shared" si="16"/>
        <v>0</v>
      </c>
      <c r="J195" s="192">
        <f t="shared" si="17"/>
        <v>0</v>
      </c>
      <c r="K195" s="173"/>
      <c r="L195" s="191">
        <f t="shared" si="15"/>
        <v>0</v>
      </c>
      <c r="M195" s="190">
        <f t="shared" si="18"/>
        <v>0</v>
      </c>
      <c r="N195" s="176"/>
      <c r="O195" s="176"/>
      <c r="P195" s="201"/>
      <c r="Q195" s="201"/>
      <c r="R195" s="309"/>
      <c r="S195" s="309"/>
    </row>
    <row r="196" spans="1:19" x14ac:dyDescent="0.25">
      <c r="A196" s="196"/>
      <c r="B196" s="174"/>
      <c r="C196" s="200"/>
      <c r="D196" s="179"/>
      <c r="E196" s="179"/>
      <c r="F196" s="185"/>
      <c r="G196" s="186"/>
      <c r="H196" s="182"/>
      <c r="I196" s="193">
        <f t="shared" si="16"/>
        <v>0</v>
      </c>
      <c r="J196" s="192">
        <f t="shared" si="17"/>
        <v>0</v>
      </c>
      <c r="K196" s="173"/>
      <c r="L196" s="191">
        <f t="shared" ref="L196:L259" si="19">K196*I196</f>
        <v>0</v>
      </c>
      <c r="M196" s="190">
        <f t="shared" si="18"/>
        <v>0</v>
      </c>
      <c r="N196" s="176"/>
      <c r="O196" s="176"/>
      <c r="P196" s="201"/>
      <c r="Q196" s="201"/>
      <c r="R196" s="309"/>
      <c r="S196" s="309"/>
    </row>
    <row r="197" spans="1:19" x14ac:dyDescent="0.25">
      <c r="A197" s="196"/>
      <c r="B197" s="174"/>
      <c r="C197" s="200"/>
      <c r="D197" s="179"/>
      <c r="E197" s="179"/>
      <c r="F197" s="185"/>
      <c r="G197" s="186"/>
      <c r="H197" s="182"/>
      <c r="I197" s="193">
        <f t="shared" ref="I197:I260" si="20">F197*G197</f>
        <v>0</v>
      </c>
      <c r="J197" s="192">
        <f t="shared" si="17"/>
        <v>0</v>
      </c>
      <c r="K197" s="173"/>
      <c r="L197" s="191">
        <f t="shared" si="19"/>
        <v>0</v>
      </c>
      <c r="M197" s="190">
        <f t="shared" si="18"/>
        <v>0</v>
      </c>
      <c r="N197" s="176"/>
      <c r="O197" s="176"/>
      <c r="P197" s="201"/>
      <c r="Q197" s="201"/>
      <c r="R197" s="309"/>
      <c r="S197" s="309"/>
    </row>
    <row r="198" spans="1:19" x14ac:dyDescent="0.25">
      <c r="A198" s="196"/>
      <c r="B198" s="174"/>
      <c r="C198" s="200"/>
      <c r="D198" s="179"/>
      <c r="E198" s="179"/>
      <c r="F198" s="185"/>
      <c r="G198" s="186"/>
      <c r="H198" s="182"/>
      <c r="I198" s="193">
        <f t="shared" si="20"/>
        <v>0</v>
      </c>
      <c r="J198" s="192">
        <f t="shared" ref="J198:J261" si="21">F198*H198</f>
        <v>0</v>
      </c>
      <c r="K198" s="173"/>
      <c r="L198" s="191">
        <f t="shared" si="19"/>
        <v>0</v>
      </c>
      <c r="M198" s="190">
        <f t="shared" ref="M198:M261" si="22">K198*J198</f>
        <v>0</v>
      </c>
      <c r="N198" s="176"/>
      <c r="O198" s="176"/>
      <c r="P198" s="201"/>
      <c r="Q198" s="201"/>
      <c r="R198" s="309"/>
      <c r="S198" s="309"/>
    </row>
    <row r="199" spans="1:19" x14ac:dyDescent="0.25">
      <c r="A199" s="196"/>
      <c r="B199" s="174"/>
      <c r="C199" s="200"/>
      <c r="D199" s="179"/>
      <c r="E199" s="179"/>
      <c r="F199" s="185"/>
      <c r="G199" s="186"/>
      <c r="H199" s="182"/>
      <c r="I199" s="193">
        <f t="shared" si="20"/>
        <v>0</v>
      </c>
      <c r="J199" s="192">
        <f t="shared" si="21"/>
        <v>0</v>
      </c>
      <c r="K199" s="173"/>
      <c r="L199" s="191">
        <f t="shared" si="19"/>
        <v>0</v>
      </c>
      <c r="M199" s="190">
        <f t="shared" si="22"/>
        <v>0</v>
      </c>
      <c r="N199" s="176"/>
      <c r="O199" s="176"/>
      <c r="P199" s="201"/>
      <c r="Q199" s="201"/>
      <c r="R199" s="309"/>
      <c r="S199" s="309"/>
    </row>
    <row r="200" spans="1:19" x14ac:dyDescent="0.25">
      <c r="A200" s="196"/>
      <c r="B200" s="174"/>
      <c r="C200" s="200"/>
      <c r="D200" s="179"/>
      <c r="E200" s="179"/>
      <c r="F200" s="185"/>
      <c r="G200" s="186"/>
      <c r="H200" s="182"/>
      <c r="I200" s="193">
        <f t="shared" si="20"/>
        <v>0</v>
      </c>
      <c r="J200" s="192">
        <f t="shared" si="21"/>
        <v>0</v>
      </c>
      <c r="K200" s="173"/>
      <c r="L200" s="191">
        <f t="shared" si="19"/>
        <v>0</v>
      </c>
      <c r="M200" s="190">
        <f t="shared" si="22"/>
        <v>0</v>
      </c>
      <c r="N200" s="176"/>
      <c r="O200" s="176"/>
      <c r="P200" s="201"/>
      <c r="Q200" s="201"/>
      <c r="R200" s="309"/>
      <c r="S200" s="309"/>
    </row>
    <row r="201" spans="1:19" x14ac:dyDescent="0.25">
      <c r="A201" s="196"/>
      <c r="B201" s="174"/>
      <c r="C201" s="200"/>
      <c r="D201" s="179"/>
      <c r="E201" s="179"/>
      <c r="F201" s="185"/>
      <c r="G201" s="186"/>
      <c r="H201" s="182"/>
      <c r="I201" s="193">
        <f t="shared" si="20"/>
        <v>0</v>
      </c>
      <c r="J201" s="192">
        <f t="shared" si="21"/>
        <v>0</v>
      </c>
      <c r="K201" s="173"/>
      <c r="L201" s="191">
        <f t="shared" si="19"/>
        <v>0</v>
      </c>
      <c r="M201" s="190">
        <f t="shared" si="22"/>
        <v>0</v>
      </c>
      <c r="N201" s="176"/>
      <c r="O201" s="176"/>
      <c r="P201" s="201"/>
      <c r="Q201" s="201"/>
      <c r="R201" s="309"/>
      <c r="S201" s="309"/>
    </row>
    <row r="202" spans="1:19" x14ac:dyDescent="0.25">
      <c r="A202" s="196"/>
      <c r="B202" s="174"/>
      <c r="C202" s="200"/>
      <c r="D202" s="179"/>
      <c r="E202" s="179"/>
      <c r="F202" s="185"/>
      <c r="G202" s="186"/>
      <c r="H202" s="182"/>
      <c r="I202" s="193">
        <f t="shared" si="20"/>
        <v>0</v>
      </c>
      <c r="J202" s="192">
        <f t="shared" si="21"/>
        <v>0</v>
      </c>
      <c r="K202" s="173"/>
      <c r="L202" s="191">
        <f t="shared" si="19"/>
        <v>0</v>
      </c>
      <c r="M202" s="190">
        <f t="shared" si="22"/>
        <v>0</v>
      </c>
      <c r="N202" s="176"/>
      <c r="O202" s="176"/>
      <c r="P202" s="201"/>
      <c r="Q202" s="201"/>
      <c r="R202" s="309"/>
      <c r="S202" s="309"/>
    </row>
    <row r="203" spans="1:19" x14ac:dyDescent="0.25">
      <c r="A203" s="196"/>
      <c r="B203" s="174"/>
      <c r="C203" s="200"/>
      <c r="D203" s="179"/>
      <c r="E203" s="179"/>
      <c r="F203" s="185"/>
      <c r="G203" s="186"/>
      <c r="H203" s="182"/>
      <c r="I203" s="193">
        <f t="shared" si="20"/>
        <v>0</v>
      </c>
      <c r="J203" s="192">
        <f t="shared" si="21"/>
        <v>0</v>
      </c>
      <c r="K203" s="173"/>
      <c r="L203" s="191">
        <f t="shared" si="19"/>
        <v>0</v>
      </c>
      <c r="M203" s="190">
        <f t="shared" si="22"/>
        <v>0</v>
      </c>
      <c r="N203" s="176"/>
      <c r="O203" s="176"/>
      <c r="P203" s="201"/>
      <c r="Q203" s="201"/>
      <c r="R203" s="309"/>
      <c r="S203" s="309"/>
    </row>
    <row r="204" spans="1:19" x14ac:dyDescent="0.25">
      <c r="A204" s="196"/>
      <c r="B204" s="174"/>
      <c r="C204" s="200"/>
      <c r="D204" s="179"/>
      <c r="E204" s="179"/>
      <c r="F204" s="185"/>
      <c r="G204" s="186"/>
      <c r="H204" s="182"/>
      <c r="I204" s="193">
        <f t="shared" si="20"/>
        <v>0</v>
      </c>
      <c r="J204" s="192">
        <f t="shared" si="21"/>
        <v>0</v>
      </c>
      <c r="K204" s="173"/>
      <c r="L204" s="191">
        <f t="shared" si="19"/>
        <v>0</v>
      </c>
      <c r="M204" s="190">
        <f t="shared" si="22"/>
        <v>0</v>
      </c>
      <c r="N204" s="176"/>
      <c r="O204" s="176"/>
      <c r="P204" s="201"/>
      <c r="Q204" s="201"/>
      <c r="R204" s="309"/>
      <c r="S204" s="309"/>
    </row>
    <row r="205" spans="1:19" x14ac:dyDescent="0.25">
      <c r="A205" s="196"/>
      <c r="B205" s="174"/>
      <c r="C205" s="200"/>
      <c r="D205" s="179"/>
      <c r="E205" s="179"/>
      <c r="F205" s="185"/>
      <c r="G205" s="186"/>
      <c r="H205" s="182"/>
      <c r="I205" s="193">
        <f t="shared" si="20"/>
        <v>0</v>
      </c>
      <c r="J205" s="192">
        <f t="shared" si="21"/>
        <v>0</v>
      </c>
      <c r="K205" s="173"/>
      <c r="L205" s="191">
        <f t="shared" si="19"/>
        <v>0</v>
      </c>
      <c r="M205" s="190">
        <f t="shared" si="22"/>
        <v>0</v>
      </c>
      <c r="N205" s="176"/>
      <c r="O205" s="176"/>
      <c r="P205" s="201"/>
      <c r="Q205" s="201"/>
      <c r="R205" s="309"/>
      <c r="S205" s="309"/>
    </row>
    <row r="206" spans="1:19" x14ac:dyDescent="0.25">
      <c r="A206" s="196"/>
      <c r="B206" s="174"/>
      <c r="C206" s="200"/>
      <c r="D206" s="179"/>
      <c r="E206" s="179"/>
      <c r="F206" s="185"/>
      <c r="G206" s="186"/>
      <c r="H206" s="182"/>
      <c r="I206" s="193">
        <f t="shared" si="20"/>
        <v>0</v>
      </c>
      <c r="J206" s="192">
        <f t="shared" si="21"/>
        <v>0</v>
      </c>
      <c r="K206" s="173"/>
      <c r="L206" s="191">
        <f t="shared" si="19"/>
        <v>0</v>
      </c>
      <c r="M206" s="190">
        <f t="shared" si="22"/>
        <v>0</v>
      </c>
      <c r="N206" s="176"/>
      <c r="O206" s="176"/>
      <c r="P206" s="201"/>
      <c r="Q206" s="201"/>
      <c r="R206" s="309"/>
      <c r="S206" s="309"/>
    </row>
    <row r="207" spans="1:19" x14ac:dyDescent="0.25">
      <c r="A207" s="196"/>
      <c r="B207" s="174"/>
      <c r="C207" s="200"/>
      <c r="D207" s="179"/>
      <c r="E207" s="179"/>
      <c r="F207" s="185"/>
      <c r="G207" s="186"/>
      <c r="H207" s="182"/>
      <c r="I207" s="193">
        <f t="shared" si="20"/>
        <v>0</v>
      </c>
      <c r="J207" s="192">
        <f t="shared" si="21"/>
        <v>0</v>
      </c>
      <c r="K207" s="173"/>
      <c r="L207" s="191">
        <f t="shared" si="19"/>
        <v>0</v>
      </c>
      <c r="M207" s="190">
        <f t="shared" si="22"/>
        <v>0</v>
      </c>
      <c r="N207" s="176"/>
      <c r="O207" s="176"/>
      <c r="P207" s="201"/>
      <c r="Q207" s="201"/>
      <c r="R207" s="309"/>
      <c r="S207" s="309"/>
    </row>
    <row r="208" spans="1:19" x14ac:dyDescent="0.25">
      <c r="A208" s="196"/>
      <c r="B208" s="174"/>
      <c r="C208" s="200"/>
      <c r="D208" s="179"/>
      <c r="E208" s="179"/>
      <c r="F208" s="185"/>
      <c r="G208" s="186"/>
      <c r="H208" s="182"/>
      <c r="I208" s="193">
        <f t="shared" si="20"/>
        <v>0</v>
      </c>
      <c r="J208" s="192">
        <f t="shared" si="21"/>
        <v>0</v>
      </c>
      <c r="K208" s="173"/>
      <c r="L208" s="191">
        <f t="shared" si="19"/>
        <v>0</v>
      </c>
      <c r="M208" s="190">
        <f t="shared" si="22"/>
        <v>0</v>
      </c>
      <c r="N208" s="176"/>
      <c r="O208" s="176"/>
      <c r="P208" s="201"/>
      <c r="Q208" s="201"/>
      <c r="R208" s="309"/>
      <c r="S208" s="309"/>
    </row>
    <row r="209" spans="1:19" x14ac:dyDescent="0.25">
      <c r="A209" s="196"/>
      <c r="B209" s="174"/>
      <c r="C209" s="200"/>
      <c r="D209" s="179"/>
      <c r="E209" s="179"/>
      <c r="F209" s="185"/>
      <c r="G209" s="186"/>
      <c r="H209" s="182"/>
      <c r="I209" s="193">
        <f t="shared" si="20"/>
        <v>0</v>
      </c>
      <c r="J209" s="192">
        <f t="shared" si="21"/>
        <v>0</v>
      </c>
      <c r="K209" s="173"/>
      <c r="L209" s="191">
        <f t="shared" si="19"/>
        <v>0</v>
      </c>
      <c r="M209" s="190">
        <f t="shared" si="22"/>
        <v>0</v>
      </c>
      <c r="N209" s="176"/>
      <c r="O209" s="176"/>
      <c r="P209" s="201"/>
      <c r="Q209" s="201"/>
      <c r="R209" s="309"/>
      <c r="S209" s="309"/>
    </row>
    <row r="210" spans="1:19" x14ac:dyDescent="0.25">
      <c r="A210" s="196"/>
      <c r="B210" s="174"/>
      <c r="C210" s="200"/>
      <c r="D210" s="179"/>
      <c r="E210" s="179"/>
      <c r="F210" s="185"/>
      <c r="G210" s="186"/>
      <c r="H210" s="182"/>
      <c r="I210" s="193">
        <f t="shared" si="20"/>
        <v>0</v>
      </c>
      <c r="J210" s="192">
        <f t="shared" si="21"/>
        <v>0</v>
      </c>
      <c r="K210" s="173"/>
      <c r="L210" s="191">
        <f t="shared" si="19"/>
        <v>0</v>
      </c>
      <c r="M210" s="190">
        <f t="shared" si="22"/>
        <v>0</v>
      </c>
      <c r="N210" s="176"/>
      <c r="O210" s="176"/>
      <c r="P210" s="201"/>
      <c r="Q210" s="201"/>
      <c r="R210" s="309"/>
      <c r="S210" s="309"/>
    </row>
    <row r="211" spans="1:19" x14ac:dyDescent="0.25">
      <c r="A211" s="196"/>
      <c r="B211" s="174"/>
      <c r="C211" s="200"/>
      <c r="D211" s="179"/>
      <c r="E211" s="179"/>
      <c r="F211" s="185"/>
      <c r="G211" s="186"/>
      <c r="H211" s="182"/>
      <c r="I211" s="193">
        <f t="shared" si="20"/>
        <v>0</v>
      </c>
      <c r="J211" s="192">
        <f t="shared" si="21"/>
        <v>0</v>
      </c>
      <c r="K211" s="173"/>
      <c r="L211" s="191">
        <f t="shared" si="19"/>
        <v>0</v>
      </c>
      <c r="M211" s="190">
        <f t="shared" si="22"/>
        <v>0</v>
      </c>
      <c r="N211" s="176"/>
      <c r="O211" s="176"/>
      <c r="P211" s="201"/>
      <c r="Q211" s="201"/>
      <c r="R211" s="309"/>
      <c r="S211" s="309"/>
    </row>
    <row r="212" spans="1:19" x14ac:dyDescent="0.25">
      <c r="A212" s="196"/>
      <c r="B212" s="174"/>
      <c r="C212" s="200"/>
      <c r="D212" s="179"/>
      <c r="E212" s="179"/>
      <c r="F212" s="185"/>
      <c r="G212" s="186"/>
      <c r="H212" s="182"/>
      <c r="I212" s="193">
        <f t="shared" si="20"/>
        <v>0</v>
      </c>
      <c r="J212" s="192">
        <f t="shared" si="21"/>
        <v>0</v>
      </c>
      <c r="K212" s="173"/>
      <c r="L212" s="191">
        <f t="shared" si="19"/>
        <v>0</v>
      </c>
      <c r="M212" s="190">
        <f t="shared" si="22"/>
        <v>0</v>
      </c>
      <c r="N212" s="176"/>
      <c r="O212" s="176"/>
      <c r="P212" s="201"/>
      <c r="Q212" s="201"/>
      <c r="R212" s="309"/>
      <c r="S212" s="309"/>
    </row>
    <row r="213" spans="1:19" x14ac:dyDescent="0.25">
      <c r="A213" s="196"/>
      <c r="B213" s="174"/>
      <c r="C213" s="200"/>
      <c r="D213" s="179"/>
      <c r="E213" s="179"/>
      <c r="F213" s="185"/>
      <c r="G213" s="186"/>
      <c r="H213" s="182"/>
      <c r="I213" s="193">
        <f t="shared" si="20"/>
        <v>0</v>
      </c>
      <c r="J213" s="192">
        <f t="shared" si="21"/>
        <v>0</v>
      </c>
      <c r="K213" s="173"/>
      <c r="L213" s="191">
        <f t="shared" si="19"/>
        <v>0</v>
      </c>
      <c r="M213" s="190">
        <f t="shared" si="22"/>
        <v>0</v>
      </c>
      <c r="N213" s="176"/>
      <c r="O213" s="176"/>
      <c r="P213" s="201"/>
      <c r="Q213" s="201"/>
      <c r="R213" s="309"/>
      <c r="S213" s="309"/>
    </row>
    <row r="214" spans="1:19" x14ac:dyDescent="0.25">
      <c r="A214" s="196"/>
      <c r="B214" s="174"/>
      <c r="C214" s="200"/>
      <c r="D214" s="179"/>
      <c r="E214" s="179"/>
      <c r="F214" s="185"/>
      <c r="G214" s="186"/>
      <c r="H214" s="182"/>
      <c r="I214" s="193">
        <f t="shared" si="20"/>
        <v>0</v>
      </c>
      <c r="J214" s="192">
        <f t="shared" si="21"/>
        <v>0</v>
      </c>
      <c r="K214" s="173"/>
      <c r="L214" s="191">
        <f t="shared" si="19"/>
        <v>0</v>
      </c>
      <c r="M214" s="190">
        <f t="shared" si="22"/>
        <v>0</v>
      </c>
      <c r="N214" s="176"/>
      <c r="O214" s="176"/>
      <c r="P214" s="201"/>
      <c r="Q214" s="201"/>
      <c r="R214" s="309"/>
      <c r="S214" s="309"/>
    </row>
    <row r="215" spans="1:19" x14ac:dyDescent="0.25">
      <c r="A215" s="196"/>
      <c r="B215" s="174"/>
      <c r="C215" s="200"/>
      <c r="D215" s="179"/>
      <c r="E215" s="179"/>
      <c r="F215" s="185"/>
      <c r="G215" s="186"/>
      <c r="H215" s="182"/>
      <c r="I215" s="193">
        <f t="shared" si="20"/>
        <v>0</v>
      </c>
      <c r="J215" s="192">
        <f t="shared" si="21"/>
        <v>0</v>
      </c>
      <c r="K215" s="173"/>
      <c r="L215" s="191">
        <f t="shared" si="19"/>
        <v>0</v>
      </c>
      <c r="M215" s="190">
        <f t="shared" si="22"/>
        <v>0</v>
      </c>
      <c r="N215" s="176"/>
      <c r="O215" s="176"/>
      <c r="P215" s="201"/>
      <c r="Q215" s="201"/>
      <c r="R215" s="309"/>
      <c r="S215" s="309"/>
    </row>
    <row r="216" spans="1:19" x14ac:dyDescent="0.25">
      <c r="A216" s="196"/>
      <c r="B216" s="174"/>
      <c r="C216" s="200"/>
      <c r="D216" s="179"/>
      <c r="E216" s="179"/>
      <c r="F216" s="185"/>
      <c r="G216" s="186"/>
      <c r="H216" s="182"/>
      <c r="I216" s="193">
        <f t="shared" si="20"/>
        <v>0</v>
      </c>
      <c r="J216" s="192">
        <f t="shared" si="21"/>
        <v>0</v>
      </c>
      <c r="K216" s="173"/>
      <c r="L216" s="191">
        <f t="shared" si="19"/>
        <v>0</v>
      </c>
      <c r="M216" s="190">
        <f t="shared" si="22"/>
        <v>0</v>
      </c>
      <c r="N216" s="176"/>
      <c r="O216" s="176"/>
      <c r="P216" s="201"/>
      <c r="Q216" s="201"/>
      <c r="R216" s="309"/>
      <c r="S216" s="309"/>
    </row>
    <row r="217" spans="1:19" x14ac:dyDescent="0.25">
      <c r="A217" s="196"/>
      <c r="B217" s="174"/>
      <c r="C217" s="200"/>
      <c r="D217" s="179"/>
      <c r="E217" s="179"/>
      <c r="F217" s="185"/>
      <c r="G217" s="186"/>
      <c r="H217" s="182"/>
      <c r="I217" s="193">
        <f t="shared" si="20"/>
        <v>0</v>
      </c>
      <c r="J217" s="192">
        <f t="shared" si="21"/>
        <v>0</v>
      </c>
      <c r="K217" s="173"/>
      <c r="L217" s="191">
        <f t="shared" si="19"/>
        <v>0</v>
      </c>
      <c r="M217" s="190">
        <f t="shared" si="22"/>
        <v>0</v>
      </c>
      <c r="N217" s="176"/>
      <c r="O217" s="176"/>
      <c r="P217" s="201"/>
      <c r="Q217" s="201"/>
      <c r="R217" s="309"/>
      <c r="S217" s="309"/>
    </row>
    <row r="218" spans="1:19" x14ac:dyDescent="0.25">
      <c r="A218" s="196"/>
      <c r="B218" s="174"/>
      <c r="C218" s="200"/>
      <c r="D218" s="179"/>
      <c r="E218" s="179"/>
      <c r="F218" s="185"/>
      <c r="G218" s="186"/>
      <c r="H218" s="182"/>
      <c r="I218" s="193">
        <f t="shared" si="20"/>
        <v>0</v>
      </c>
      <c r="J218" s="192">
        <f t="shared" si="21"/>
        <v>0</v>
      </c>
      <c r="K218" s="173"/>
      <c r="L218" s="191">
        <f t="shared" si="19"/>
        <v>0</v>
      </c>
      <c r="M218" s="190">
        <f t="shared" si="22"/>
        <v>0</v>
      </c>
      <c r="N218" s="176"/>
      <c r="O218" s="176"/>
      <c r="P218" s="201"/>
      <c r="Q218" s="201"/>
      <c r="R218" s="309"/>
      <c r="S218" s="309"/>
    </row>
    <row r="219" spans="1:19" x14ac:dyDescent="0.25">
      <c r="A219" s="196"/>
      <c r="B219" s="174"/>
      <c r="C219" s="200"/>
      <c r="D219" s="179"/>
      <c r="E219" s="179"/>
      <c r="F219" s="185"/>
      <c r="G219" s="186"/>
      <c r="H219" s="182"/>
      <c r="I219" s="193">
        <f t="shared" si="20"/>
        <v>0</v>
      </c>
      <c r="J219" s="192">
        <f t="shared" si="21"/>
        <v>0</v>
      </c>
      <c r="K219" s="173"/>
      <c r="L219" s="191">
        <f t="shared" si="19"/>
        <v>0</v>
      </c>
      <c r="M219" s="190">
        <f t="shared" si="22"/>
        <v>0</v>
      </c>
      <c r="N219" s="176"/>
      <c r="O219" s="176"/>
      <c r="P219" s="201"/>
      <c r="Q219" s="201"/>
      <c r="R219" s="309"/>
      <c r="S219" s="309"/>
    </row>
    <row r="220" spans="1:19" x14ac:dyDescent="0.25">
      <c r="A220" s="196"/>
      <c r="B220" s="174"/>
      <c r="C220" s="200"/>
      <c r="D220" s="179"/>
      <c r="E220" s="179"/>
      <c r="F220" s="185"/>
      <c r="G220" s="186"/>
      <c r="H220" s="182"/>
      <c r="I220" s="193">
        <f t="shared" si="20"/>
        <v>0</v>
      </c>
      <c r="J220" s="192">
        <f t="shared" si="21"/>
        <v>0</v>
      </c>
      <c r="K220" s="173"/>
      <c r="L220" s="191">
        <f t="shared" si="19"/>
        <v>0</v>
      </c>
      <c r="M220" s="190">
        <f t="shared" si="22"/>
        <v>0</v>
      </c>
      <c r="N220" s="176"/>
      <c r="O220" s="176"/>
      <c r="P220" s="201"/>
      <c r="Q220" s="201"/>
      <c r="R220" s="309"/>
      <c r="S220" s="309"/>
    </row>
    <row r="221" spans="1:19" x14ac:dyDescent="0.25">
      <c r="A221" s="196"/>
      <c r="B221" s="174"/>
      <c r="C221" s="200"/>
      <c r="D221" s="179"/>
      <c r="E221" s="179"/>
      <c r="F221" s="185"/>
      <c r="G221" s="186"/>
      <c r="H221" s="182"/>
      <c r="I221" s="193">
        <f t="shared" si="20"/>
        <v>0</v>
      </c>
      <c r="J221" s="192">
        <f t="shared" si="21"/>
        <v>0</v>
      </c>
      <c r="K221" s="173"/>
      <c r="L221" s="191">
        <f t="shared" si="19"/>
        <v>0</v>
      </c>
      <c r="M221" s="190">
        <f t="shared" si="22"/>
        <v>0</v>
      </c>
      <c r="N221" s="176"/>
      <c r="O221" s="176"/>
      <c r="P221" s="201"/>
      <c r="Q221" s="201"/>
      <c r="R221" s="309"/>
      <c r="S221" s="309"/>
    </row>
    <row r="222" spans="1:19" x14ac:dyDescent="0.25">
      <c r="A222" s="196"/>
      <c r="B222" s="174"/>
      <c r="C222" s="200"/>
      <c r="D222" s="179"/>
      <c r="E222" s="179"/>
      <c r="F222" s="185"/>
      <c r="G222" s="186"/>
      <c r="H222" s="182"/>
      <c r="I222" s="193">
        <f t="shared" si="20"/>
        <v>0</v>
      </c>
      <c r="J222" s="192">
        <f t="shared" si="21"/>
        <v>0</v>
      </c>
      <c r="K222" s="173"/>
      <c r="L222" s="191">
        <f t="shared" si="19"/>
        <v>0</v>
      </c>
      <c r="M222" s="190">
        <f t="shared" si="22"/>
        <v>0</v>
      </c>
      <c r="N222" s="176"/>
      <c r="O222" s="176"/>
      <c r="P222" s="201"/>
      <c r="Q222" s="201"/>
      <c r="R222" s="309"/>
      <c r="S222" s="309"/>
    </row>
    <row r="223" spans="1:19" x14ac:dyDescent="0.25">
      <c r="A223" s="196"/>
      <c r="B223" s="174"/>
      <c r="C223" s="200"/>
      <c r="D223" s="179"/>
      <c r="E223" s="179"/>
      <c r="F223" s="185"/>
      <c r="G223" s="186"/>
      <c r="H223" s="182"/>
      <c r="I223" s="193">
        <f t="shared" si="20"/>
        <v>0</v>
      </c>
      <c r="J223" s="192">
        <f t="shared" si="21"/>
        <v>0</v>
      </c>
      <c r="K223" s="173"/>
      <c r="L223" s="191">
        <f t="shared" si="19"/>
        <v>0</v>
      </c>
      <c r="M223" s="190">
        <f t="shared" si="22"/>
        <v>0</v>
      </c>
      <c r="N223" s="176"/>
      <c r="O223" s="176"/>
      <c r="P223" s="201"/>
      <c r="Q223" s="201"/>
      <c r="R223" s="309"/>
      <c r="S223" s="309"/>
    </row>
    <row r="224" spans="1:19" x14ac:dyDescent="0.25">
      <c r="A224" s="196"/>
      <c r="B224" s="174"/>
      <c r="C224" s="200"/>
      <c r="D224" s="179"/>
      <c r="E224" s="179"/>
      <c r="F224" s="185"/>
      <c r="G224" s="186"/>
      <c r="H224" s="182"/>
      <c r="I224" s="193">
        <f t="shared" si="20"/>
        <v>0</v>
      </c>
      <c r="J224" s="192">
        <f t="shared" si="21"/>
        <v>0</v>
      </c>
      <c r="K224" s="173"/>
      <c r="L224" s="191">
        <f t="shared" si="19"/>
        <v>0</v>
      </c>
      <c r="M224" s="190">
        <f t="shared" si="22"/>
        <v>0</v>
      </c>
      <c r="N224" s="176"/>
      <c r="O224" s="176"/>
      <c r="P224" s="201"/>
      <c r="Q224" s="201"/>
      <c r="R224" s="309"/>
      <c r="S224" s="309"/>
    </row>
    <row r="225" spans="1:19" x14ac:dyDescent="0.25">
      <c r="A225" s="196"/>
      <c r="B225" s="174"/>
      <c r="C225" s="200"/>
      <c r="D225" s="179"/>
      <c r="E225" s="179"/>
      <c r="F225" s="185"/>
      <c r="G225" s="186"/>
      <c r="H225" s="182"/>
      <c r="I225" s="193">
        <f t="shared" si="20"/>
        <v>0</v>
      </c>
      <c r="J225" s="192">
        <f t="shared" si="21"/>
        <v>0</v>
      </c>
      <c r="K225" s="173"/>
      <c r="L225" s="191">
        <f t="shared" si="19"/>
        <v>0</v>
      </c>
      <c r="M225" s="190">
        <f t="shared" si="22"/>
        <v>0</v>
      </c>
      <c r="N225" s="176"/>
      <c r="O225" s="176"/>
      <c r="P225" s="201"/>
      <c r="Q225" s="201"/>
      <c r="R225" s="309"/>
      <c r="S225" s="309"/>
    </row>
    <row r="226" spans="1:19" x14ac:dyDescent="0.25">
      <c r="A226" s="196"/>
      <c r="B226" s="174"/>
      <c r="C226" s="200"/>
      <c r="D226" s="179"/>
      <c r="E226" s="179"/>
      <c r="F226" s="185"/>
      <c r="G226" s="186"/>
      <c r="H226" s="182"/>
      <c r="I226" s="193">
        <f t="shared" si="20"/>
        <v>0</v>
      </c>
      <c r="J226" s="192">
        <f t="shared" si="21"/>
        <v>0</v>
      </c>
      <c r="K226" s="173"/>
      <c r="L226" s="191">
        <f t="shared" si="19"/>
        <v>0</v>
      </c>
      <c r="M226" s="190">
        <f t="shared" si="22"/>
        <v>0</v>
      </c>
      <c r="N226" s="176"/>
      <c r="O226" s="176"/>
      <c r="P226" s="201"/>
      <c r="Q226" s="201"/>
      <c r="R226" s="309"/>
      <c r="S226" s="309"/>
    </row>
    <row r="227" spans="1:19" x14ac:dyDescent="0.25">
      <c r="A227" s="196"/>
      <c r="B227" s="174"/>
      <c r="C227" s="200"/>
      <c r="D227" s="179"/>
      <c r="E227" s="179"/>
      <c r="F227" s="185"/>
      <c r="G227" s="186"/>
      <c r="H227" s="182"/>
      <c r="I227" s="193">
        <f t="shared" si="20"/>
        <v>0</v>
      </c>
      <c r="J227" s="192">
        <f t="shared" si="21"/>
        <v>0</v>
      </c>
      <c r="K227" s="173"/>
      <c r="L227" s="191">
        <f t="shared" si="19"/>
        <v>0</v>
      </c>
      <c r="M227" s="190">
        <f t="shared" si="22"/>
        <v>0</v>
      </c>
      <c r="N227" s="176"/>
      <c r="O227" s="176"/>
      <c r="P227" s="201"/>
      <c r="Q227" s="201"/>
      <c r="R227" s="309"/>
      <c r="S227" s="309"/>
    </row>
    <row r="228" spans="1:19" x14ac:dyDescent="0.25">
      <c r="A228" s="196"/>
      <c r="B228" s="174"/>
      <c r="C228" s="200"/>
      <c r="D228" s="179"/>
      <c r="E228" s="179"/>
      <c r="F228" s="185"/>
      <c r="G228" s="186"/>
      <c r="H228" s="182"/>
      <c r="I228" s="193">
        <f t="shared" si="20"/>
        <v>0</v>
      </c>
      <c r="J228" s="192">
        <f t="shared" si="21"/>
        <v>0</v>
      </c>
      <c r="K228" s="173"/>
      <c r="L228" s="191">
        <f t="shared" si="19"/>
        <v>0</v>
      </c>
      <c r="M228" s="190">
        <f t="shared" si="22"/>
        <v>0</v>
      </c>
      <c r="N228" s="176"/>
      <c r="O228" s="176"/>
      <c r="P228" s="201"/>
      <c r="Q228" s="201"/>
      <c r="R228" s="309"/>
      <c r="S228" s="309"/>
    </row>
    <row r="229" spans="1:19" x14ac:dyDescent="0.25">
      <c r="A229" s="196"/>
      <c r="B229" s="174"/>
      <c r="C229" s="200"/>
      <c r="D229" s="179"/>
      <c r="E229" s="179"/>
      <c r="F229" s="185"/>
      <c r="G229" s="186"/>
      <c r="H229" s="182"/>
      <c r="I229" s="193">
        <f t="shared" si="20"/>
        <v>0</v>
      </c>
      <c r="J229" s="192">
        <f t="shared" si="21"/>
        <v>0</v>
      </c>
      <c r="K229" s="173"/>
      <c r="L229" s="191">
        <f t="shared" si="19"/>
        <v>0</v>
      </c>
      <c r="M229" s="190">
        <f t="shared" si="22"/>
        <v>0</v>
      </c>
      <c r="N229" s="176"/>
      <c r="O229" s="176"/>
      <c r="P229" s="201"/>
      <c r="Q229" s="201"/>
      <c r="R229" s="309"/>
      <c r="S229" s="309"/>
    </row>
    <row r="230" spans="1:19" x14ac:dyDescent="0.25">
      <c r="A230" s="196"/>
      <c r="B230" s="174"/>
      <c r="C230" s="200"/>
      <c r="D230" s="179"/>
      <c r="E230" s="179"/>
      <c r="F230" s="185"/>
      <c r="G230" s="186"/>
      <c r="H230" s="182"/>
      <c r="I230" s="193">
        <f t="shared" si="20"/>
        <v>0</v>
      </c>
      <c r="J230" s="192">
        <f t="shared" si="21"/>
        <v>0</v>
      </c>
      <c r="K230" s="173"/>
      <c r="L230" s="191">
        <f t="shared" si="19"/>
        <v>0</v>
      </c>
      <c r="M230" s="190">
        <f t="shared" si="22"/>
        <v>0</v>
      </c>
      <c r="N230" s="176"/>
      <c r="O230" s="176"/>
      <c r="P230" s="201"/>
      <c r="Q230" s="201"/>
      <c r="R230" s="309"/>
      <c r="S230" s="309"/>
    </row>
    <row r="231" spans="1:19" x14ac:dyDescent="0.25">
      <c r="A231" s="196"/>
      <c r="B231" s="174"/>
      <c r="C231" s="200"/>
      <c r="D231" s="179"/>
      <c r="E231" s="179"/>
      <c r="F231" s="185"/>
      <c r="G231" s="186"/>
      <c r="H231" s="182"/>
      <c r="I231" s="193">
        <f t="shared" si="20"/>
        <v>0</v>
      </c>
      <c r="J231" s="192">
        <f t="shared" si="21"/>
        <v>0</v>
      </c>
      <c r="K231" s="173"/>
      <c r="L231" s="191">
        <f t="shared" si="19"/>
        <v>0</v>
      </c>
      <c r="M231" s="190">
        <f t="shared" si="22"/>
        <v>0</v>
      </c>
      <c r="N231" s="176"/>
      <c r="O231" s="176"/>
      <c r="P231" s="201"/>
      <c r="Q231" s="201"/>
      <c r="R231" s="309"/>
      <c r="S231" s="309"/>
    </row>
    <row r="232" spans="1:19" x14ac:dyDescent="0.25">
      <c r="A232" s="196"/>
      <c r="B232" s="174"/>
      <c r="C232" s="200"/>
      <c r="D232" s="179"/>
      <c r="E232" s="179"/>
      <c r="F232" s="185"/>
      <c r="G232" s="186"/>
      <c r="H232" s="182"/>
      <c r="I232" s="193">
        <f t="shared" si="20"/>
        <v>0</v>
      </c>
      <c r="J232" s="192">
        <f t="shared" si="21"/>
        <v>0</v>
      </c>
      <c r="K232" s="173"/>
      <c r="L232" s="191">
        <f t="shared" si="19"/>
        <v>0</v>
      </c>
      <c r="M232" s="190">
        <f t="shared" si="22"/>
        <v>0</v>
      </c>
      <c r="N232" s="176"/>
      <c r="O232" s="176"/>
      <c r="P232" s="201"/>
      <c r="Q232" s="201"/>
      <c r="R232" s="309"/>
      <c r="S232" s="309"/>
    </row>
    <row r="233" spans="1:19" x14ac:dyDescent="0.25">
      <c r="A233" s="196"/>
      <c r="B233" s="174"/>
      <c r="C233" s="200"/>
      <c r="D233" s="179"/>
      <c r="E233" s="179"/>
      <c r="F233" s="185"/>
      <c r="G233" s="186"/>
      <c r="H233" s="182"/>
      <c r="I233" s="193">
        <f t="shared" si="20"/>
        <v>0</v>
      </c>
      <c r="J233" s="192">
        <f t="shared" si="21"/>
        <v>0</v>
      </c>
      <c r="K233" s="173"/>
      <c r="L233" s="191">
        <f t="shared" si="19"/>
        <v>0</v>
      </c>
      <c r="M233" s="190">
        <f t="shared" si="22"/>
        <v>0</v>
      </c>
      <c r="N233" s="176"/>
      <c r="O233" s="176"/>
      <c r="P233" s="201"/>
      <c r="Q233" s="201"/>
      <c r="R233" s="309"/>
      <c r="S233" s="309"/>
    </row>
    <row r="234" spans="1:19" x14ac:dyDescent="0.25">
      <c r="A234" s="196"/>
      <c r="B234" s="174"/>
      <c r="C234" s="200"/>
      <c r="D234" s="179"/>
      <c r="E234" s="179"/>
      <c r="F234" s="185"/>
      <c r="G234" s="186"/>
      <c r="H234" s="182"/>
      <c r="I234" s="193">
        <f t="shared" si="20"/>
        <v>0</v>
      </c>
      <c r="J234" s="192">
        <f t="shared" si="21"/>
        <v>0</v>
      </c>
      <c r="K234" s="173"/>
      <c r="L234" s="191">
        <f t="shared" si="19"/>
        <v>0</v>
      </c>
      <c r="M234" s="190">
        <f t="shared" si="22"/>
        <v>0</v>
      </c>
      <c r="N234" s="176"/>
      <c r="O234" s="176"/>
      <c r="P234" s="201"/>
      <c r="Q234" s="201"/>
      <c r="R234" s="309"/>
      <c r="S234" s="309"/>
    </row>
    <row r="235" spans="1:19" x14ac:dyDescent="0.25">
      <c r="A235" s="196"/>
      <c r="B235" s="174"/>
      <c r="C235" s="200"/>
      <c r="D235" s="179"/>
      <c r="E235" s="179"/>
      <c r="F235" s="185"/>
      <c r="G235" s="186"/>
      <c r="H235" s="182"/>
      <c r="I235" s="193">
        <f t="shared" si="20"/>
        <v>0</v>
      </c>
      <c r="J235" s="192">
        <f t="shared" si="21"/>
        <v>0</v>
      </c>
      <c r="K235" s="173"/>
      <c r="L235" s="191">
        <f t="shared" si="19"/>
        <v>0</v>
      </c>
      <c r="M235" s="190">
        <f t="shared" si="22"/>
        <v>0</v>
      </c>
      <c r="N235" s="176"/>
      <c r="O235" s="176"/>
      <c r="P235" s="201"/>
      <c r="Q235" s="201"/>
      <c r="R235" s="309"/>
      <c r="S235" s="309"/>
    </row>
    <row r="236" spans="1:19" x14ac:dyDescent="0.25">
      <c r="A236" s="196"/>
      <c r="B236" s="174"/>
      <c r="C236" s="200"/>
      <c r="D236" s="179"/>
      <c r="E236" s="179"/>
      <c r="F236" s="185"/>
      <c r="G236" s="186"/>
      <c r="H236" s="182"/>
      <c r="I236" s="193">
        <f t="shared" si="20"/>
        <v>0</v>
      </c>
      <c r="J236" s="192">
        <f t="shared" si="21"/>
        <v>0</v>
      </c>
      <c r="K236" s="173"/>
      <c r="L236" s="191">
        <f t="shared" si="19"/>
        <v>0</v>
      </c>
      <c r="M236" s="190">
        <f t="shared" si="22"/>
        <v>0</v>
      </c>
      <c r="N236" s="176"/>
      <c r="O236" s="176"/>
      <c r="P236" s="201"/>
      <c r="Q236" s="201"/>
      <c r="R236" s="309"/>
      <c r="S236" s="309"/>
    </row>
    <row r="237" spans="1:19" x14ac:dyDescent="0.25">
      <c r="A237" s="196"/>
      <c r="B237" s="174"/>
      <c r="C237" s="200"/>
      <c r="D237" s="179"/>
      <c r="E237" s="179"/>
      <c r="F237" s="185"/>
      <c r="G237" s="186"/>
      <c r="H237" s="182"/>
      <c r="I237" s="193">
        <f t="shared" si="20"/>
        <v>0</v>
      </c>
      <c r="J237" s="192">
        <f t="shared" si="21"/>
        <v>0</v>
      </c>
      <c r="K237" s="173"/>
      <c r="L237" s="191">
        <f t="shared" si="19"/>
        <v>0</v>
      </c>
      <c r="M237" s="190">
        <f t="shared" si="22"/>
        <v>0</v>
      </c>
      <c r="N237" s="176"/>
      <c r="O237" s="176"/>
      <c r="P237" s="201"/>
      <c r="Q237" s="201"/>
      <c r="R237" s="309"/>
      <c r="S237" s="309"/>
    </row>
    <row r="238" spans="1:19" x14ac:dyDescent="0.25">
      <c r="A238" s="196"/>
      <c r="B238" s="174"/>
      <c r="C238" s="200"/>
      <c r="D238" s="179"/>
      <c r="E238" s="179"/>
      <c r="F238" s="185"/>
      <c r="G238" s="186"/>
      <c r="H238" s="182"/>
      <c r="I238" s="193">
        <f t="shared" si="20"/>
        <v>0</v>
      </c>
      <c r="J238" s="192">
        <f t="shared" si="21"/>
        <v>0</v>
      </c>
      <c r="K238" s="173"/>
      <c r="L238" s="191">
        <f t="shared" si="19"/>
        <v>0</v>
      </c>
      <c r="M238" s="190">
        <f t="shared" si="22"/>
        <v>0</v>
      </c>
      <c r="N238" s="176"/>
      <c r="O238" s="176"/>
      <c r="P238" s="201"/>
      <c r="Q238" s="201"/>
      <c r="R238" s="309"/>
      <c r="S238" s="309"/>
    </row>
    <row r="239" spans="1:19" x14ac:dyDescent="0.25">
      <c r="A239" s="196"/>
      <c r="B239" s="174"/>
      <c r="C239" s="200"/>
      <c r="D239" s="179"/>
      <c r="E239" s="179"/>
      <c r="F239" s="185"/>
      <c r="G239" s="186"/>
      <c r="H239" s="182"/>
      <c r="I239" s="193">
        <f t="shared" si="20"/>
        <v>0</v>
      </c>
      <c r="J239" s="192">
        <f t="shared" si="21"/>
        <v>0</v>
      </c>
      <c r="K239" s="173"/>
      <c r="L239" s="191">
        <f t="shared" si="19"/>
        <v>0</v>
      </c>
      <c r="M239" s="190">
        <f t="shared" si="22"/>
        <v>0</v>
      </c>
      <c r="N239" s="176"/>
      <c r="O239" s="176"/>
      <c r="P239" s="201"/>
      <c r="Q239" s="201"/>
      <c r="R239" s="309"/>
      <c r="S239" s="309"/>
    </row>
    <row r="240" spans="1:19" x14ac:dyDescent="0.25">
      <c r="A240" s="196"/>
      <c r="B240" s="174"/>
      <c r="C240" s="200"/>
      <c r="D240" s="179"/>
      <c r="E240" s="179"/>
      <c r="F240" s="185"/>
      <c r="G240" s="186"/>
      <c r="H240" s="182"/>
      <c r="I240" s="193">
        <f t="shared" si="20"/>
        <v>0</v>
      </c>
      <c r="J240" s="192">
        <f t="shared" si="21"/>
        <v>0</v>
      </c>
      <c r="K240" s="173"/>
      <c r="L240" s="191">
        <f t="shared" si="19"/>
        <v>0</v>
      </c>
      <c r="M240" s="190">
        <f t="shared" si="22"/>
        <v>0</v>
      </c>
      <c r="N240" s="176"/>
      <c r="O240" s="176"/>
      <c r="P240" s="201"/>
      <c r="Q240" s="201"/>
      <c r="R240" s="309"/>
      <c r="S240" s="309"/>
    </row>
    <row r="241" spans="1:19" x14ac:dyDescent="0.25">
      <c r="A241" s="196"/>
      <c r="B241" s="174"/>
      <c r="C241" s="200"/>
      <c r="D241" s="179"/>
      <c r="E241" s="179"/>
      <c r="F241" s="185"/>
      <c r="G241" s="186"/>
      <c r="H241" s="182"/>
      <c r="I241" s="193">
        <f t="shared" si="20"/>
        <v>0</v>
      </c>
      <c r="J241" s="192">
        <f t="shared" si="21"/>
        <v>0</v>
      </c>
      <c r="K241" s="173"/>
      <c r="L241" s="191">
        <f t="shared" si="19"/>
        <v>0</v>
      </c>
      <c r="M241" s="190">
        <f t="shared" si="22"/>
        <v>0</v>
      </c>
      <c r="N241" s="176"/>
      <c r="O241" s="176"/>
      <c r="P241" s="201"/>
      <c r="Q241" s="201"/>
      <c r="R241" s="309"/>
      <c r="S241" s="309"/>
    </row>
    <row r="242" spans="1:19" x14ac:dyDescent="0.25">
      <c r="A242" s="196"/>
      <c r="B242" s="174"/>
      <c r="C242" s="200"/>
      <c r="D242" s="179"/>
      <c r="E242" s="179"/>
      <c r="F242" s="185"/>
      <c r="G242" s="186"/>
      <c r="H242" s="182"/>
      <c r="I242" s="193">
        <f t="shared" si="20"/>
        <v>0</v>
      </c>
      <c r="J242" s="192">
        <f t="shared" si="21"/>
        <v>0</v>
      </c>
      <c r="K242" s="173"/>
      <c r="L242" s="191">
        <f t="shared" si="19"/>
        <v>0</v>
      </c>
      <c r="M242" s="190">
        <f t="shared" si="22"/>
        <v>0</v>
      </c>
      <c r="N242" s="176"/>
      <c r="O242" s="176"/>
      <c r="P242" s="201"/>
      <c r="Q242" s="201"/>
      <c r="R242" s="309"/>
      <c r="S242" s="309"/>
    </row>
    <row r="243" spans="1:19" x14ac:dyDescent="0.25">
      <c r="A243" s="196"/>
      <c r="B243" s="174"/>
      <c r="C243" s="200"/>
      <c r="D243" s="179"/>
      <c r="E243" s="179"/>
      <c r="F243" s="185"/>
      <c r="G243" s="186"/>
      <c r="H243" s="182"/>
      <c r="I243" s="193">
        <f t="shared" si="20"/>
        <v>0</v>
      </c>
      <c r="J243" s="192">
        <f t="shared" si="21"/>
        <v>0</v>
      </c>
      <c r="K243" s="173"/>
      <c r="L243" s="191">
        <f t="shared" si="19"/>
        <v>0</v>
      </c>
      <c r="M243" s="190">
        <f t="shared" si="22"/>
        <v>0</v>
      </c>
      <c r="N243" s="176"/>
      <c r="O243" s="176"/>
      <c r="P243" s="201"/>
      <c r="Q243" s="201"/>
      <c r="R243" s="309"/>
      <c r="S243" s="309"/>
    </row>
    <row r="244" spans="1:19" x14ac:dyDescent="0.25">
      <c r="A244" s="196"/>
      <c r="B244" s="174"/>
      <c r="C244" s="200"/>
      <c r="D244" s="179"/>
      <c r="E244" s="179"/>
      <c r="F244" s="185"/>
      <c r="G244" s="186"/>
      <c r="H244" s="182"/>
      <c r="I244" s="193">
        <f t="shared" si="20"/>
        <v>0</v>
      </c>
      <c r="J244" s="192">
        <f t="shared" si="21"/>
        <v>0</v>
      </c>
      <c r="K244" s="173"/>
      <c r="L244" s="191">
        <f t="shared" si="19"/>
        <v>0</v>
      </c>
      <c r="M244" s="190">
        <f t="shared" si="22"/>
        <v>0</v>
      </c>
      <c r="N244" s="176"/>
      <c r="O244" s="176"/>
      <c r="P244" s="201"/>
      <c r="Q244" s="201"/>
      <c r="R244" s="309"/>
      <c r="S244" s="309"/>
    </row>
    <row r="245" spans="1:19" x14ac:dyDescent="0.25">
      <c r="A245" s="196"/>
      <c r="B245" s="174"/>
      <c r="C245" s="200"/>
      <c r="D245" s="179"/>
      <c r="E245" s="179"/>
      <c r="F245" s="185"/>
      <c r="G245" s="186"/>
      <c r="H245" s="182"/>
      <c r="I245" s="193">
        <f t="shared" si="20"/>
        <v>0</v>
      </c>
      <c r="J245" s="192">
        <f t="shared" si="21"/>
        <v>0</v>
      </c>
      <c r="K245" s="173"/>
      <c r="L245" s="191">
        <f t="shared" si="19"/>
        <v>0</v>
      </c>
      <c r="M245" s="190">
        <f t="shared" si="22"/>
        <v>0</v>
      </c>
      <c r="N245" s="176"/>
      <c r="O245" s="176"/>
      <c r="P245" s="201"/>
      <c r="Q245" s="201"/>
      <c r="R245" s="309"/>
      <c r="S245" s="309"/>
    </row>
    <row r="246" spans="1:19" x14ac:dyDescent="0.25">
      <c r="A246" s="196"/>
      <c r="B246" s="174"/>
      <c r="C246" s="200"/>
      <c r="D246" s="179"/>
      <c r="E246" s="179"/>
      <c r="F246" s="185"/>
      <c r="G246" s="186"/>
      <c r="H246" s="182"/>
      <c r="I246" s="193">
        <f t="shared" si="20"/>
        <v>0</v>
      </c>
      <c r="J246" s="192">
        <f t="shared" si="21"/>
        <v>0</v>
      </c>
      <c r="K246" s="173"/>
      <c r="L246" s="191">
        <f t="shared" si="19"/>
        <v>0</v>
      </c>
      <c r="M246" s="190">
        <f t="shared" si="22"/>
        <v>0</v>
      </c>
      <c r="N246" s="176"/>
      <c r="O246" s="176"/>
      <c r="P246" s="201"/>
      <c r="Q246" s="201"/>
      <c r="R246" s="309"/>
      <c r="S246" s="309"/>
    </row>
    <row r="247" spans="1:19" x14ac:dyDescent="0.25">
      <c r="A247" s="196"/>
      <c r="B247" s="174"/>
      <c r="C247" s="200"/>
      <c r="D247" s="179"/>
      <c r="E247" s="179"/>
      <c r="F247" s="185"/>
      <c r="G247" s="186"/>
      <c r="H247" s="182"/>
      <c r="I247" s="193">
        <f t="shared" si="20"/>
        <v>0</v>
      </c>
      <c r="J247" s="192">
        <f t="shared" si="21"/>
        <v>0</v>
      </c>
      <c r="K247" s="173"/>
      <c r="L247" s="191">
        <f t="shared" si="19"/>
        <v>0</v>
      </c>
      <c r="M247" s="190">
        <f t="shared" si="22"/>
        <v>0</v>
      </c>
      <c r="N247" s="176"/>
      <c r="O247" s="176"/>
      <c r="P247" s="201"/>
      <c r="Q247" s="201"/>
      <c r="R247" s="309"/>
      <c r="S247" s="309"/>
    </row>
    <row r="248" spans="1:19" x14ac:dyDescent="0.25">
      <c r="A248" s="196"/>
      <c r="B248" s="174"/>
      <c r="C248" s="200"/>
      <c r="D248" s="179"/>
      <c r="E248" s="179"/>
      <c r="F248" s="185"/>
      <c r="G248" s="186"/>
      <c r="H248" s="182"/>
      <c r="I248" s="193">
        <f t="shared" si="20"/>
        <v>0</v>
      </c>
      <c r="J248" s="192">
        <f t="shared" si="21"/>
        <v>0</v>
      </c>
      <c r="K248" s="173"/>
      <c r="L248" s="191">
        <f t="shared" si="19"/>
        <v>0</v>
      </c>
      <c r="M248" s="190">
        <f t="shared" si="22"/>
        <v>0</v>
      </c>
      <c r="N248" s="176"/>
      <c r="O248" s="176"/>
      <c r="P248" s="201"/>
      <c r="Q248" s="201"/>
      <c r="R248" s="309"/>
      <c r="S248" s="309"/>
    </row>
    <row r="249" spans="1:19" x14ac:dyDescent="0.25">
      <c r="A249" s="196"/>
      <c r="B249" s="174"/>
      <c r="C249" s="200"/>
      <c r="D249" s="179"/>
      <c r="E249" s="179"/>
      <c r="F249" s="185"/>
      <c r="G249" s="186"/>
      <c r="H249" s="182"/>
      <c r="I249" s="193">
        <f t="shared" si="20"/>
        <v>0</v>
      </c>
      <c r="J249" s="192">
        <f t="shared" si="21"/>
        <v>0</v>
      </c>
      <c r="K249" s="173"/>
      <c r="L249" s="191">
        <f t="shared" si="19"/>
        <v>0</v>
      </c>
      <c r="M249" s="190">
        <f t="shared" si="22"/>
        <v>0</v>
      </c>
      <c r="N249" s="176"/>
      <c r="O249" s="176"/>
      <c r="P249" s="201"/>
      <c r="Q249" s="201"/>
      <c r="R249" s="309"/>
      <c r="S249" s="309"/>
    </row>
    <row r="250" spans="1:19" x14ac:dyDescent="0.25">
      <c r="A250" s="196"/>
      <c r="B250" s="174"/>
      <c r="C250" s="200"/>
      <c r="D250" s="179"/>
      <c r="E250" s="179"/>
      <c r="F250" s="185"/>
      <c r="G250" s="186"/>
      <c r="H250" s="182"/>
      <c r="I250" s="193">
        <f t="shared" si="20"/>
        <v>0</v>
      </c>
      <c r="J250" s="192">
        <f t="shared" si="21"/>
        <v>0</v>
      </c>
      <c r="K250" s="173"/>
      <c r="L250" s="191">
        <f t="shared" si="19"/>
        <v>0</v>
      </c>
      <c r="M250" s="190">
        <f t="shared" si="22"/>
        <v>0</v>
      </c>
      <c r="N250" s="176"/>
      <c r="O250" s="176"/>
      <c r="P250" s="201"/>
      <c r="Q250" s="201"/>
      <c r="R250" s="309"/>
      <c r="S250" s="309"/>
    </row>
    <row r="251" spans="1:19" x14ac:dyDescent="0.25">
      <c r="A251" s="196"/>
      <c r="B251" s="174"/>
      <c r="C251" s="200"/>
      <c r="D251" s="179"/>
      <c r="E251" s="179"/>
      <c r="F251" s="185"/>
      <c r="G251" s="186"/>
      <c r="H251" s="182"/>
      <c r="I251" s="193">
        <f t="shared" si="20"/>
        <v>0</v>
      </c>
      <c r="J251" s="192">
        <f t="shared" si="21"/>
        <v>0</v>
      </c>
      <c r="K251" s="173"/>
      <c r="L251" s="191">
        <f t="shared" si="19"/>
        <v>0</v>
      </c>
      <c r="M251" s="190">
        <f t="shared" si="22"/>
        <v>0</v>
      </c>
      <c r="N251" s="176"/>
      <c r="O251" s="176"/>
      <c r="P251" s="201"/>
      <c r="Q251" s="201"/>
      <c r="R251" s="309"/>
      <c r="S251" s="309"/>
    </row>
    <row r="252" spans="1:19" x14ac:dyDescent="0.25">
      <c r="A252" s="196"/>
      <c r="B252" s="174"/>
      <c r="C252" s="200"/>
      <c r="D252" s="179"/>
      <c r="E252" s="179"/>
      <c r="F252" s="185"/>
      <c r="G252" s="186"/>
      <c r="H252" s="182"/>
      <c r="I252" s="193">
        <f t="shared" si="20"/>
        <v>0</v>
      </c>
      <c r="J252" s="192">
        <f t="shared" si="21"/>
        <v>0</v>
      </c>
      <c r="K252" s="173"/>
      <c r="L252" s="191">
        <f t="shared" si="19"/>
        <v>0</v>
      </c>
      <c r="M252" s="190">
        <f t="shared" si="22"/>
        <v>0</v>
      </c>
      <c r="N252" s="176"/>
      <c r="O252" s="176"/>
      <c r="P252" s="201"/>
      <c r="Q252" s="201"/>
      <c r="R252" s="309"/>
      <c r="S252" s="309"/>
    </row>
    <row r="253" spans="1:19" x14ac:dyDescent="0.25">
      <c r="A253" s="196"/>
      <c r="B253" s="174"/>
      <c r="C253" s="200"/>
      <c r="D253" s="179"/>
      <c r="E253" s="179"/>
      <c r="F253" s="185"/>
      <c r="G253" s="186"/>
      <c r="H253" s="182"/>
      <c r="I253" s="193">
        <f t="shared" si="20"/>
        <v>0</v>
      </c>
      <c r="J253" s="192">
        <f t="shared" si="21"/>
        <v>0</v>
      </c>
      <c r="K253" s="173"/>
      <c r="L253" s="191">
        <f t="shared" si="19"/>
        <v>0</v>
      </c>
      <c r="M253" s="190">
        <f t="shared" si="22"/>
        <v>0</v>
      </c>
      <c r="N253" s="176"/>
      <c r="O253" s="176"/>
      <c r="P253" s="201"/>
      <c r="Q253" s="201"/>
      <c r="R253" s="309"/>
      <c r="S253" s="309"/>
    </row>
    <row r="254" spans="1:19" x14ac:dyDescent="0.25">
      <c r="A254" s="196"/>
      <c r="B254" s="174"/>
      <c r="C254" s="200"/>
      <c r="D254" s="179"/>
      <c r="E254" s="179"/>
      <c r="F254" s="185"/>
      <c r="G254" s="186"/>
      <c r="H254" s="182"/>
      <c r="I254" s="193">
        <f t="shared" si="20"/>
        <v>0</v>
      </c>
      <c r="J254" s="192">
        <f t="shared" si="21"/>
        <v>0</v>
      </c>
      <c r="K254" s="173"/>
      <c r="L254" s="191">
        <f t="shared" si="19"/>
        <v>0</v>
      </c>
      <c r="M254" s="190">
        <f t="shared" si="22"/>
        <v>0</v>
      </c>
      <c r="N254" s="176"/>
      <c r="O254" s="176"/>
      <c r="P254" s="201"/>
      <c r="Q254" s="201"/>
      <c r="R254" s="309"/>
      <c r="S254" s="309"/>
    </row>
    <row r="255" spans="1:19" x14ac:dyDescent="0.25">
      <c r="A255" s="196"/>
      <c r="B255" s="174"/>
      <c r="C255" s="200"/>
      <c r="D255" s="179"/>
      <c r="E255" s="179"/>
      <c r="F255" s="185"/>
      <c r="G255" s="186"/>
      <c r="H255" s="182"/>
      <c r="I255" s="193">
        <f t="shared" si="20"/>
        <v>0</v>
      </c>
      <c r="J255" s="192">
        <f t="shared" si="21"/>
        <v>0</v>
      </c>
      <c r="K255" s="173"/>
      <c r="L255" s="191">
        <f t="shared" si="19"/>
        <v>0</v>
      </c>
      <c r="M255" s="190">
        <f t="shared" si="22"/>
        <v>0</v>
      </c>
      <c r="N255" s="176"/>
      <c r="O255" s="176"/>
      <c r="P255" s="201"/>
      <c r="Q255" s="201"/>
      <c r="R255" s="309"/>
      <c r="S255" s="309"/>
    </row>
    <row r="256" spans="1:19" x14ac:dyDescent="0.25">
      <c r="A256" s="196"/>
      <c r="B256" s="174"/>
      <c r="C256" s="200"/>
      <c r="D256" s="179"/>
      <c r="E256" s="179"/>
      <c r="F256" s="185"/>
      <c r="G256" s="186"/>
      <c r="H256" s="182"/>
      <c r="I256" s="193">
        <f t="shared" si="20"/>
        <v>0</v>
      </c>
      <c r="J256" s="192">
        <f t="shared" si="21"/>
        <v>0</v>
      </c>
      <c r="K256" s="173"/>
      <c r="L256" s="191">
        <f t="shared" si="19"/>
        <v>0</v>
      </c>
      <c r="M256" s="190">
        <f t="shared" si="22"/>
        <v>0</v>
      </c>
      <c r="N256" s="176"/>
      <c r="O256" s="176"/>
      <c r="P256" s="201"/>
      <c r="Q256" s="201"/>
      <c r="R256" s="309"/>
      <c r="S256" s="309"/>
    </row>
    <row r="257" spans="1:19" x14ac:dyDescent="0.25">
      <c r="A257" s="196"/>
      <c r="B257" s="174"/>
      <c r="C257" s="200"/>
      <c r="D257" s="179"/>
      <c r="E257" s="179"/>
      <c r="F257" s="185"/>
      <c r="G257" s="186"/>
      <c r="H257" s="182"/>
      <c r="I257" s="193">
        <f t="shared" si="20"/>
        <v>0</v>
      </c>
      <c r="J257" s="192">
        <f t="shared" si="21"/>
        <v>0</v>
      </c>
      <c r="K257" s="173"/>
      <c r="L257" s="191">
        <f t="shared" si="19"/>
        <v>0</v>
      </c>
      <c r="M257" s="190">
        <f t="shared" si="22"/>
        <v>0</v>
      </c>
      <c r="N257" s="176"/>
      <c r="O257" s="176"/>
      <c r="P257" s="201"/>
      <c r="Q257" s="201"/>
      <c r="R257" s="309"/>
      <c r="S257" s="309"/>
    </row>
    <row r="258" spans="1:19" x14ac:dyDescent="0.25">
      <c r="A258" s="196"/>
      <c r="B258" s="174"/>
      <c r="C258" s="200"/>
      <c r="D258" s="179"/>
      <c r="E258" s="179"/>
      <c r="F258" s="185"/>
      <c r="G258" s="186"/>
      <c r="H258" s="182"/>
      <c r="I258" s="193">
        <f t="shared" si="20"/>
        <v>0</v>
      </c>
      <c r="J258" s="192">
        <f t="shared" si="21"/>
        <v>0</v>
      </c>
      <c r="K258" s="173"/>
      <c r="L258" s="191">
        <f t="shared" si="19"/>
        <v>0</v>
      </c>
      <c r="M258" s="190">
        <f t="shared" si="22"/>
        <v>0</v>
      </c>
      <c r="N258" s="176"/>
      <c r="O258" s="176"/>
      <c r="P258" s="201"/>
      <c r="Q258" s="201"/>
      <c r="R258" s="309"/>
      <c r="S258" s="309"/>
    </row>
    <row r="259" spans="1:19" x14ac:dyDescent="0.25">
      <c r="A259" s="196"/>
      <c r="B259" s="174"/>
      <c r="C259" s="200"/>
      <c r="D259" s="179"/>
      <c r="E259" s="179"/>
      <c r="F259" s="185"/>
      <c r="G259" s="186"/>
      <c r="H259" s="182"/>
      <c r="I259" s="193">
        <f t="shared" si="20"/>
        <v>0</v>
      </c>
      <c r="J259" s="192">
        <f t="shared" si="21"/>
        <v>0</v>
      </c>
      <c r="K259" s="173"/>
      <c r="L259" s="191">
        <f t="shared" si="19"/>
        <v>0</v>
      </c>
      <c r="M259" s="190">
        <f t="shared" si="22"/>
        <v>0</v>
      </c>
      <c r="N259" s="176"/>
      <c r="O259" s="176"/>
      <c r="P259" s="201"/>
      <c r="Q259" s="201"/>
      <c r="R259" s="309"/>
      <c r="S259" s="309"/>
    </row>
    <row r="260" spans="1:19" x14ac:dyDescent="0.25">
      <c r="A260" s="196"/>
      <c r="B260" s="174"/>
      <c r="C260" s="200"/>
      <c r="D260" s="179"/>
      <c r="E260" s="179"/>
      <c r="F260" s="185"/>
      <c r="G260" s="186"/>
      <c r="H260" s="182"/>
      <c r="I260" s="193">
        <f t="shared" si="20"/>
        <v>0</v>
      </c>
      <c r="J260" s="192">
        <f t="shared" si="21"/>
        <v>0</v>
      </c>
      <c r="K260" s="173"/>
      <c r="L260" s="191">
        <f t="shared" ref="L260:L323" si="23">K260*I260</f>
        <v>0</v>
      </c>
      <c r="M260" s="190">
        <f t="shared" si="22"/>
        <v>0</v>
      </c>
      <c r="N260" s="176"/>
      <c r="O260" s="176"/>
      <c r="P260" s="201"/>
      <c r="Q260" s="201"/>
      <c r="R260" s="309"/>
      <c r="S260" s="309"/>
    </row>
    <row r="261" spans="1:19" x14ac:dyDescent="0.25">
      <c r="A261" s="196"/>
      <c r="B261" s="174"/>
      <c r="C261" s="200"/>
      <c r="D261" s="179"/>
      <c r="E261" s="179"/>
      <c r="F261" s="185"/>
      <c r="G261" s="186"/>
      <c r="H261" s="182"/>
      <c r="I261" s="193">
        <f t="shared" ref="I261:I324" si="24">F261*G261</f>
        <v>0</v>
      </c>
      <c r="J261" s="192">
        <f t="shared" si="21"/>
        <v>0</v>
      </c>
      <c r="K261" s="173"/>
      <c r="L261" s="191">
        <f t="shared" si="23"/>
        <v>0</v>
      </c>
      <c r="M261" s="190">
        <f t="shared" si="22"/>
        <v>0</v>
      </c>
      <c r="N261" s="176"/>
      <c r="O261" s="176"/>
      <c r="P261" s="201"/>
      <c r="Q261" s="201"/>
      <c r="R261" s="309"/>
      <c r="S261" s="309"/>
    </row>
    <row r="262" spans="1:19" x14ac:dyDescent="0.25">
      <c r="A262" s="196"/>
      <c r="B262" s="174"/>
      <c r="C262" s="200"/>
      <c r="D262" s="179"/>
      <c r="E262" s="179"/>
      <c r="F262" s="185"/>
      <c r="G262" s="186"/>
      <c r="H262" s="182"/>
      <c r="I262" s="193">
        <f t="shared" si="24"/>
        <v>0</v>
      </c>
      <c r="J262" s="192">
        <f t="shared" ref="J262:J325" si="25">F262*H262</f>
        <v>0</v>
      </c>
      <c r="K262" s="173"/>
      <c r="L262" s="191">
        <f t="shared" si="23"/>
        <v>0</v>
      </c>
      <c r="M262" s="190">
        <f t="shared" ref="M262:M325" si="26">K262*J262</f>
        <v>0</v>
      </c>
      <c r="N262" s="176"/>
      <c r="O262" s="176"/>
      <c r="P262" s="201"/>
      <c r="Q262" s="201"/>
      <c r="R262" s="309"/>
      <c r="S262" s="309"/>
    </row>
    <row r="263" spans="1:19" x14ac:dyDescent="0.25">
      <c r="A263" s="196"/>
      <c r="B263" s="174"/>
      <c r="C263" s="200"/>
      <c r="D263" s="179"/>
      <c r="E263" s="179"/>
      <c r="F263" s="185"/>
      <c r="G263" s="186"/>
      <c r="H263" s="182"/>
      <c r="I263" s="193">
        <f t="shared" si="24"/>
        <v>0</v>
      </c>
      <c r="J263" s="192">
        <f t="shared" si="25"/>
        <v>0</v>
      </c>
      <c r="K263" s="173"/>
      <c r="L263" s="191">
        <f t="shared" si="23"/>
        <v>0</v>
      </c>
      <c r="M263" s="190">
        <f t="shared" si="26"/>
        <v>0</v>
      </c>
      <c r="N263" s="176"/>
      <c r="O263" s="176"/>
      <c r="P263" s="201"/>
      <c r="Q263" s="201"/>
      <c r="R263" s="309"/>
      <c r="S263" s="309"/>
    </row>
    <row r="264" spans="1:19" x14ac:dyDescent="0.25">
      <c r="A264" s="196"/>
      <c r="B264" s="174"/>
      <c r="C264" s="200"/>
      <c r="D264" s="179"/>
      <c r="E264" s="179"/>
      <c r="F264" s="185"/>
      <c r="G264" s="186"/>
      <c r="H264" s="182"/>
      <c r="I264" s="193">
        <f t="shared" si="24"/>
        <v>0</v>
      </c>
      <c r="J264" s="192">
        <f t="shared" si="25"/>
        <v>0</v>
      </c>
      <c r="K264" s="173"/>
      <c r="L264" s="191">
        <f t="shared" si="23"/>
        <v>0</v>
      </c>
      <c r="M264" s="190">
        <f t="shared" si="26"/>
        <v>0</v>
      </c>
      <c r="N264" s="176"/>
      <c r="O264" s="176"/>
      <c r="P264" s="201"/>
      <c r="Q264" s="201"/>
      <c r="R264" s="309"/>
      <c r="S264" s="309"/>
    </row>
    <row r="265" spans="1:19" x14ac:dyDescent="0.25">
      <c r="A265" s="196"/>
      <c r="B265" s="174"/>
      <c r="C265" s="200"/>
      <c r="D265" s="179"/>
      <c r="E265" s="179"/>
      <c r="F265" s="185"/>
      <c r="G265" s="186"/>
      <c r="H265" s="182"/>
      <c r="I265" s="193">
        <f t="shared" si="24"/>
        <v>0</v>
      </c>
      <c r="J265" s="192">
        <f t="shared" si="25"/>
        <v>0</v>
      </c>
      <c r="K265" s="173"/>
      <c r="L265" s="191">
        <f t="shared" si="23"/>
        <v>0</v>
      </c>
      <c r="M265" s="190">
        <f t="shared" si="26"/>
        <v>0</v>
      </c>
      <c r="N265" s="176"/>
      <c r="O265" s="176"/>
      <c r="P265" s="201"/>
      <c r="Q265" s="201"/>
      <c r="R265" s="309"/>
      <c r="S265" s="309"/>
    </row>
    <row r="266" spans="1:19" x14ac:dyDescent="0.25">
      <c r="A266" s="196"/>
      <c r="B266" s="174"/>
      <c r="C266" s="200"/>
      <c r="D266" s="179"/>
      <c r="E266" s="179"/>
      <c r="F266" s="185"/>
      <c r="G266" s="186"/>
      <c r="H266" s="182"/>
      <c r="I266" s="193">
        <f t="shared" si="24"/>
        <v>0</v>
      </c>
      <c r="J266" s="192">
        <f t="shared" si="25"/>
        <v>0</v>
      </c>
      <c r="K266" s="173"/>
      <c r="L266" s="191">
        <f t="shared" si="23"/>
        <v>0</v>
      </c>
      <c r="M266" s="190">
        <f t="shared" si="26"/>
        <v>0</v>
      </c>
      <c r="N266" s="176"/>
      <c r="O266" s="176"/>
      <c r="P266" s="201"/>
      <c r="Q266" s="201"/>
      <c r="R266" s="309"/>
      <c r="S266" s="309"/>
    </row>
    <row r="267" spans="1:19" x14ac:dyDescent="0.25">
      <c r="A267" s="196"/>
      <c r="B267" s="174"/>
      <c r="C267" s="200"/>
      <c r="D267" s="179"/>
      <c r="E267" s="179"/>
      <c r="F267" s="185"/>
      <c r="G267" s="186"/>
      <c r="H267" s="182"/>
      <c r="I267" s="193">
        <f t="shared" si="24"/>
        <v>0</v>
      </c>
      <c r="J267" s="192">
        <f t="shared" si="25"/>
        <v>0</v>
      </c>
      <c r="K267" s="173"/>
      <c r="L267" s="191">
        <f t="shared" si="23"/>
        <v>0</v>
      </c>
      <c r="M267" s="190">
        <f t="shared" si="26"/>
        <v>0</v>
      </c>
      <c r="N267" s="176"/>
      <c r="O267" s="176"/>
      <c r="P267" s="201"/>
      <c r="Q267" s="201"/>
      <c r="R267" s="309"/>
      <c r="S267" s="309"/>
    </row>
    <row r="268" spans="1:19" x14ac:dyDescent="0.25">
      <c r="A268" s="196"/>
      <c r="B268" s="174"/>
      <c r="C268" s="200"/>
      <c r="D268" s="179"/>
      <c r="E268" s="179"/>
      <c r="F268" s="185"/>
      <c r="G268" s="186"/>
      <c r="H268" s="182"/>
      <c r="I268" s="193">
        <f t="shared" si="24"/>
        <v>0</v>
      </c>
      <c r="J268" s="192">
        <f t="shared" si="25"/>
        <v>0</v>
      </c>
      <c r="K268" s="173"/>
      <c r="L268" s="191">
        <f t="shared" si="23"/>
        <v>0</v>
      </c>
      <c r="M268" s="190">
        <f t="shared" si="26"/>
        <v>0</v>
      </c>
      <c r="N268" s="176"/>
      <c r="O268" s="176"/>
      <c r="P268" s="201"/>
      <c r="Q268" s="201"/>
      <c r="R268" s="309"/>
      <c r="S268" s="309"/>
    </row>
    <row r="269" spans="1:19" x14ac:dyDescent="0.25">
      <c r="A269" s="196"/>
      <c r="B269" s="174"/>
      <c r="C269" s="200"/>
      <c r="D269" s="179"/>
      <c r="E269" s="179"/>
      <c r="F269" s="185"/>
      <c r="G269" s="186"/>
      <c r="H269" s="182"/>
      <c r="I269" s="193">
        <f t="shared" si="24"/>
        <v>0</v>
      </c>
      <c r="J269" s="192">
        <f t="shared" si="25"/>
        <v>0</v>
      </c>
      <c r="K269" s="173"/>
      <c r="L269" s="191">
        <f t="shared" si="23"/>
        <v>0</v>
      </c>
      <c r="M269" s="190">
        <f t="shared" si="26"/>
        <v>0</v>
      </c>
      <c r="N269" s="176"/>
      <c r="O269" s="176"/>
      <c r="P269" s="201"/>
      <c r="Q269" s="201"/>
      <c r="R269" s="309"/>
      <c r="S269" s="309"/>
    </row>
    <row r="270" spans="1:19" x14ac:dyDescent="0.25">
      <c r="A270" s="196"/>
      <c r="B270" s="174"/>
      <c r="C270" s="200"/>
      <c r="D270" s="179"/>
      <c r="E270" s="179"/>
      <c r="F270" s="185"/>
      <c r="G270" s="186"/>
      <c r="H270" s="182"/>
      <c r="I270" s="193">
        <f t="shared" si="24"/>
        <v>0</v>
      </c>
      <c r="J270" s="192">
        <f t="shared" si="25"/>
        <v>0</v>
      </c>
      <c r="K270" s="173"/>
      <c r="L270" s="191">
        <f t="shared" si="23"/>
        <v>0</v>
      </c>
      <c r="M270" s="190">
        <f t="shared" si="26"/>
        <v>0</v>
      </c>
      <c r="N270" s="176"/>
      <c r="O270" s="176"/>
      <c r="P270" s="201"/>
      <c r="Q270" s="201"/>
      <c r="R270" s="309"/>
      <c r="S270" s="309"/>
    </row>
    <row r="271" spans="1:19" x14ac:dyDescent="0.25">
      <c r="A271" s="196"/>
      <c r="B271" s="174"/>
      <c r="C271" s="200"/>
      <c r="D271" s="179"/>
      <c r="E271" s="179"/>
      <c r="F271" s="185"/>
      <c r="G271" s="186"/>
      <c r="H271" s="182"/>
      <c r="I271" s="193">
        <f t="shared" si="24"/>
        <v>0</v>
      </c>
      <c r="J271" s="192">
        <f t="shared" si="25"/>
        <v>0</v>
      </c>
      <c r="K271" s="173"/>
      <c r="L271" s="191">
        <f t="shared" si="23"/>
        <v>0</v>
      </c>
      <c r="M271" s="190">
        <f t="shared" si="26"/>
        <v>0</v>
      </c>
      <c r="N271" s="176"/>
      <c r="O271" s="176"/>
      <c r="P271" s="201"/>
      <c r="Q271" s="201"/>
      <c r="R271" s="309"/>
      <c r="S271" s="309"/>
    </row>
    <row r="272" spans="1:19" x14ac:dyDescent="0.25">
      <c r="A272" s="196"/>
      <c r="B272" s="174"/>
      <c r="C272" s="200"/>
      <c r="D272" s="179"/>
      <c r="E272" s="179"/>
      <c r="F272" s="185"/>
      <c r="G272" s="186"/>
      <c r="H272" s="182"/>
      <c r="I272" s="193">
        <f t="shared" si="24"/>
        <v>0</v>
      </c>
      <c r="J272" s="192">
        <f t="shared" si="25"/>
        <v>0</v>
      </c>
      <c r="K272" s="173"/>
      <c r="L272" s="191">
        <f t="shared" si="23"/>
        <v>0</v>
      </c>
      <c r="M272" s="190">
        <f t="shared" si="26"/>
        <v>0</v>
      </c>
      <c r="N272" s="176"/>
      <c r="O272" s="176"/>
      <c r="P272" s="201"/>
      <c r="Q272" s="201"/>
      <c r="R272" s="309"/>
      <c r="S272" s="309"/>
    </row>
    <row r="273" spans="1:19" x14ac:dyDescent="0.25">
      <c r="A273" s="196"/>
      <c r="B273" s="174"/>
      <c r="C273" s="200"/>
      <c r="D273" s="179"/>
      <c r="E273" s="179"/>
      <c r="F273" s="185"/>
      <c r="G273" s="186"/>
      <c r="H273" s="182"/>
      <c r="I273" s="193">
        <f t="shared" si="24"/>
        <v>0</v>
      </c>
      <c r="J273" s="192">
        <f t="shared" si="25"/>
        <v>0</v>
      </c>
      <c r="K273" s="173"/>
      <c r="L273" s="191">
        <f t="shared" si="23"/>
        <v>0</v>
      </c>
      <c r="M273" s="190">
        <f t="shared" si="26"/>
        <v>0</v>
      </c>
      <c r="N273" s="176"/>
      <c r="O273" s="176"/>
      <c r="P273" s="201"/>
      <c r="Q273" s="201"/>
      <c r="R273" s="309"/>
      <c r="S273" s="309"/>
    </row>
    <row r="274" spans="1:19" x14ac:dyDescent="0.25">
      <c r="A274" s="196"/>
      <c r="B274" s="174"/>
      <c r="C274" s="200"/>
      <c r="D274" s="179"/>
      <c r="E274" s="179"/>
      <c r="F274" s="185"/>
      <c r="G274" s="186"/>
      <c r="H274" s="182"/>
      <c r="I274" s="193">
        <f t="shared" si="24"/>
        <v>0</v>
      </c>
      <c r="J274" s="192">
        <f t="shared" si="25"/>
        <v>0</v>
      </c>
      <c r="K274" s="173"/>
      <c r="L274" s="191">
        <f t="shared" si="23"/>
        <v>0</v>
      </c>
      <c r="M274" s="190">
        <f t="shared" si="26"/>
        <v>0</v>
      </c>
      <c r="N274" s="176"/>
      <c r="O274" s="176"/>
      <c r="P274" s="201"/>
      <c r="Q274" s="201"/>
      <c r="R274" s="309"/>
      <c r="S274" s="309"/>
    </row>
    <row r="275" spans="1:19" x14ac:dyDescent="0.25">
      <c r="A275" s="196"/>
      <c r="B275" s="174"/>
      <c r="C275" s="200"/>
      <c r="D275" s="179"/>
      <c r="E275" s="179"/>
      <c r="F275" s="185"/>
      <c r="G275" s="186"/>
      <c r="H275" s="182"/>
      <c r="I275" s="193">
        <f t="shared" si="24"/>
        <v>0</v>
      </c>
      <c r="J275" s="192">
        <f t="shared" si="25"/>
        <v>0</v>
      </c>
      <c r="K275" s="173"/>
      <c r="L275" s="191">
        <f t="shared" si="23"/>
        <v>0</v>
      </c>
      <c r="M275" s="190">
        <f t="shared" si="26"/>
        <v>0</v>
      </c>
      <c r="N275" s="176"/>
      <c r="O275" s="176"/>
      <c r="P275" s="201"/>
      <c r="Q275" s="201"/>
      <c r="R275" s="309"/>
      <c r="S275" s="309"/>
    </row>
    <row r="276" spans="1:19" x14ac:dyDescent="0.25">
      <c r="A276" s="196"/>
      <c r="B276" s="174"/>
      <c r="C276" s="200"/>
      <c r="D276" s="179"/>
      <c r="E276" s="179"/>
      <c r="F276" s="185"/>
      <c r="G276" s="186"/>
      <c r="H276" s="182"/>
      <c r="I276" s="193">
        <f t="shared" si="24"/>
        <v>0</v>
      </c>
      <c r="J276" s="192">
        <f t="shared" si="25"/>
        <v>0</v>
      </c>
      <c r="K276" s="173"/>
      <c r="L276" s="191">
        <f t="shared" si="23"/>
        <v>0</v>
      </c>
      <c r="M276" s="190">
        <f t="shared" si="26"/>
        <v>0</v>
      </c>
      <c r="N276" s="176"/>
      <c r="O276" s="176"/>
      <c r="P276" s="201"/>
      <c r="Q276" s="201"/>
      <c r="R276" s="309"/>
      <c r="S276" s="309"/>
    </row>
    <row r="277" spans="1:19" x14ac:dyDescent="0.25">
      <c r="A277" s="196"/>
      <c r="B277" s="174"/>
      <c r="C277" s="200"/>
      <c r="D277" s="179"/>
      <c r="E277" s="179"/>
      <c r="F277" s="185"/>
      <c r="G277" s="186"/>
      <c r="H277" s="182"/>
      <c r="I277" s="193">
        <f t="shared" si="24"/>
        <v>0</v>
      </c>
      <c r="J277" s="192">
        <f t="shared" si="25"/>
        <v>0</v>
      </c>
      <c r="K277" s="173"/>
      <c r="L277" s="191">
        <f t="shared" si="23"/>
        <v>0</v>
      </c>
      <c r="M277" s="190">
        <f t="shared" si="26"/>
        <v>0</v>
      </c>
      <c r="N277" s="176"/>
      <c r="O277" s="176"/>
      <c r="P277" s="201"/>
      <c r="Q277" s="201"/>
      <c r="R277" s="309"/>
      <c r="S277" s="309"/>
    </row>
    <row r="278" spans="1:19" x14ac:dyDescent="0.25">
      <c r="A278" s="196"/>
      <c r="B278" s="174"/>
      <c r="C278" s="200"/>
      <c r="D278" s="179"/>
      <c r="E278" s="179"/>
      <c r="F278" s="185"/>
      <c r="G278" s="186"/>
      <c r="H278" s="182"/>
      <c r="I278" s="193">
        <f t="shared" si="24"/>
        <v>0</v>
      </c>
      <c r="J278" s="192">
        <f t="shared" si="25"/>
        <v>0</v>
      </c>
      <c r="K278" s="173"/>
      <c r="L278" s="191">
        <f t="shared" si="23"/>
        <v>0</v>
      </c>
      <c r="M278" s="190">
        <f t="shared" si="26"/>
        <v>0</v>
      </c>
      <c r="N278" s="176"/>
      <c r="O278" s="176"/>
      <c r="P278" s="201"/>
      <c r="Q278" s="201"/>
      <c r="R278" s="309"/>
      <c r="S278" s="309"/>
    </row>
    <row r="279" spans="1:19" x14ac:dyDescent="0.25">
      <c r="A279" s="196"/>
      <c r="B279" s="174"/>
      <c r="C279" s="200"/>
      <c r="D279" s="179"/>
      <c r="E279" s="179"/>
      <c r="F279" s="185"/>
      <c r="G279" s="186"/>
      <c r="H279" s="182"/>
      <c r="I279" s="193">
        <f t="shared" si="24"/>
        <v>0</v>
      </c>
      <c r="J279" s="192">
        <f t="shared" si="25"/>
        <v>0</v>
      </c>
      <c r="K279" s="173"/>
      <c r="L279" s="191">
        <f t="shared" si="23"/>
        <v>0</v>
      </c>
      <c r="M279" s="190">
        <f t="shared" si="26"/>
        <v>0</v>
      </c>
      <c r="N279" s="176"/>
      <c r="O279" s="176"/>
      <c r="P279" s="201"/>
      <c r="Q279" s="201"/>
      <c r="R279" s="309"/>
      <c r="S279" s="309"/>
    </row>
    <row r="280" spans="1:19" x14ac:dyDescent="0.25">
      <c r="A280" s="196"/>
      <c r="B280" s="174"/>
      <c r="C280" s="200"/>
      <c r="D280" s="179"/>
      <c r="E280" s="179"/>
      <c r="F280" s="185"/>
      <c r="G280" s="186"/>
      <c r="H280" s="182"/>
      <c r="I280" s="193">
        <f t="shared" si="24"/>
        <v>0</v>
      </c>
      <c r="J280" s="192">
        <f t="shared" si="25"/>
        <v>0</v>
      </c>
      <c r="K280" s="173"/>
      <c r="L280" s="191">
        <f t="shared" si="23"/>
        <v>0</v>
      </c>
      <c r="M280" s="190">
        <f t="shared" si="26"/>
        <v>0</v>
      </c>
      <c r="N280" s="176"/>
      <c r="O280" s="176"/>
      <c r="P280" s="201"/>
      <c r="Q280" s="201"/>
      <c r="R280" s="309"/>
      <c r="S280" s="309"/>
    </row>
    <row r="281" spans="1:19" x14ac:dyDescent="0.25">
      <c r="A281" s="196"/>
      <c r="B281" s="174"/>
      <c r="C281" s="200"/>
      <c r="D281" s="179"/>
      <c r="E281" s="179"/>
      <c r="F281" s="185"/>
      <c r="G281" s="186"/>
      <c r="H281" s="182"/>
      <c r="I281" s="193">
        <f t="shared" si="24"/>
        <v>0</v>
      </c>
      <c r="J281" s="192">
        <f t="shared" si="25"/>
        <v>0</v>
      </c>
      <c r="K281" s="173"/>
      <c r="L281" s="191">
        <f t="shared" si="23"/>
        <v>0</v>
      </c>
      <c r="M281" s="190">
        <f t="shared" si="26"/>
        <v>0</v>
      </c>
      <c r="N281" s="176"/>
      <c r="O281" s="176"/>
      <c r="P281" s="201"/>
      <c r="Q281" s="201"/>
      <c r="R281" s="309"/>
      <c r="S281" s="309"/>
    </row>
    <row r="282" spans="1:19" x14ac:dyDescent="0.25">
      <c r="A282" s="196"/>
      <c r="B282" s="174"/>
      <c r="C282" s="200"/>
      <c r="D282" s="179"/>
      <c r="E282" s="179"/>
      <c r="F282" s="185"/>
      <c r="G282" s="186"/>
      <c r="H282" s="182"/>
      <c r="I282" s="193">
        <f t="shared" si="24"/>
        <v>0</v>
      </c>
      <c r="J282" s="192">
        <f t="shared" si="25"/>
        <v>0</v>
      </c>
      <c r="K282" s="173"/>
      <c r="L282" s="191">
        <f t="shared" si="23"/>
        <v>0</v>
      </c>
      <c r="M282" s="190">
        <f t="shared" si="26"/>
        <v>0</v>
      </c>
      <c r="N282" s="176"/>
      <c r="O282" s="176"/>
      <c r="P282" s="201"/>
      <c r="Q282" s="201"/>
      <c r="R282" s="309"/>
      <c r="S282" s="309"/>
    </row>
    <row r="283" spans="1:19" x14ac:dyDescent="0.25">
      <c r="A283" s="196"/>
      <c r="B283" s="174"/>
      <c r="C283" s="200"/>
      <c r="D283" s="179"/>
      <c r="E283" s="179"/>
      <c r="F283" s="185"/>
      <c r="G283" s="186"/>
      <c r="H283" s="182"/>
      <c r="I283" s="193">
        <f t="shared" si="24"/>
        <v>0</v>
      </c>
      <c r="J283" s="192">
        <f t="shared" si="25"/>
        <v>0</v>
      </c>
      <c r="K283" s="173"/>
      <c r="L283" s="191">
        <f t="shared" si="23"/>
        <v>0</v>
      </c>
      <c r="M283" s="190">
        <f t="shared" si="26"/>
        <v>0</v>
      </c>
      <c r="N283" s="176"/>
      <c r="O283" s="176"/>
      <c r="P283" s="201"/>
      <c r="Q283" s="201"/>
      <c r="R283" s="309"/>
      <c r="S283" s="309"/>
    </row>
    <row r="284" spans="1:19" x14ac:dyDescent="0.25">
      <c r="A284" s="196"/>
      <c r="B284" s="174"/>
      <c r="C284" s="200"/>
      <c r="D284" s="179"/>
      <c r="E284" s="179"/>
      <c r="F284" s="185"/>
      <c r="G284" s="186"/>
      <c r="H284" s="182"/>
      <c r="I284" s="193">
        <f t="shared" si="24"/>
        <v>0</v>
      </c>
      <c r="J284" s="192">
        <f t="shared" si="25"/>
        <v>0</v>
      </c>
      <c r="K284" s="173"/>
      <c r="L284" s="191">
        <f t="shared" si="23"/>
        <v>0</v>
      </c>
      <c r="M284" s="190">
        <f t="shared" si="26"/>
        <v>0</v>
      </c>
      <c r="N284" s="176"/>
      <c r="O284" s="176"/>
      <c r="P284" s="201"/>
      <c r="Q284" s="201"/>
      <c r="R284" s="309"/>
      <c r="S284" s="309"/>
    </row>
    <row r="285" spans="1:19" x14ac:dyDescent="0.25">
      <c r="A285" s="196"/>
      <c r="B285" s="174"/>
      <c r="C285" s="200"/>
      <c r="D285" s="179"/>
      <c r="E285" s="179"/>
      <c r="F285" s="185"/>
      <c r="G285" s="186"/>
      <c r="H285" s="182"/>
      <c r="I285" s="193">
        <f t="shared" si="24"/>
        <v>0</v>
      </c>
      <c r="J285" s="192">
        <f t="shared" si="25"/>
        <v>0</v>
      </c>
      <c r="K285" s="173"/>
      <c r="L285" s="191">
        <f t="shared" si="23"/>
        <v>0</v>
      </c>
      <c r="M285" s="190">
        <f t="shared" si="26"/>
        <v>0</v>
      </c>
      <c r="N285" s="176"/>
      <c r="O285" s="176"/>
      <c r="P285" s="201"/>
      <c r="Q285" s="201"/>
      <c r="R285" s="309"/>
      <c r="S285" s="309"/>
    </row>
    <row r="286" spans="1:19" x14ac:dyDescent="0.25">
      <c r="A286" s="196"/>
      <c r="B286" s="174"/>
      <c r="C286" s="200"/>
      <c r="D286" s="179"/>
      <c r="E286" s="179"/>
      <c r="F286" s="185"/>
      <c r="G286" s="186"/>
      <c r="H286" s="182"/>
      <c r="I286" s="193">
        <f t="shared" si="24"/>
        <v>0</v>
      </c>
      <c r="J286" s="192">
        <f t="shared" si="25"/>
        <v>0</v>
      </c>
      <c r="K286" s="173"/>
      <c r="L286" s="191">
        <f t="shared" si="23"/>
        <v>0</v>
      </c>
      <c r="M286" s="190">
        <f t="shared" si="26"/>
        <v>0</v>
      </c>
      <c r="N286" s="176"/>
      <c r="O286" s="176"/>
      <c r="P286" s="201"/>
      <c r="Q286" s="201"/>
      <c r="R286" s="309"/>
      <c r="S286" s="309"/>
    </row>
    <row r="287" spans="1:19" x14ac:dyDescent="0.25">
      <c r="A287" s="196"/>
      <c r="B287" s="174"/>
      <c r="C287" s="200"/>
      <c r="D287" s="179"/>
      <c r="E287" s="179"/>
      <c r="F287" s="185"/>
      <c r="G287" s="186"/>
      <c r="H287" s="182"/>
      <c r="I287" s="193">
        <f t="shared" si="24"/>
        <v>0</v>
      </c>
      <c r="J287" s="192">
        <f t="shared" si="25"/>
        <v>0</v>
      </c>
      <c r="K287" s="173"/>
      <c r="L287" s="191">
        <f t="shared" si="23"/>
        <v>0</v>
      </c>
      <c r="M287" s="190">
        <f t="shared" si="26"/>
        <v>0</v>
      </c>
      <c r="N287" s="176"/>
      <c r="O287" s="176"/>
      <c r="P287" s="201"/>
      <c r="Q287" s="201"/>
      <c r="R287" s="309"/>
      <c r="S287" s="309"/>
    </row>
    <row r="288" spans="1:19" x14ac:dyDescent="0.25">
      <c r="A288" s="196"/>
      <c r="B288" s="174"/>
      <c r="C288" s="200"/>
      <c r="D288" s="179"/>
      <c r="E288" s="179"/>
      <c r="F288" s="185"/>
      <c r="G288" s="186"/>
      <c r="H288" s="182"/>
      <c r="I288" s="193">
        <f t="shared" si="24"/>
        <v>0</v>
      </c>
      <c r="J288" s="192">
        <f t="shared" si="25"/>
        <v>0</v>
      </c>
      <c r="K288" s="173"/>
      <c r="L288" s="191">
        <f t="shared" si="23"/>
        <v>0</v>
      </c>
      <c r="M288" s="190">
        <f t="shared" si="26"/>
        <v>0</v>
      </c>
      <c r="N288" s="176"/>
      <c r="O288" s="176"/>
      <c r="P288" s="201"/>
      <c r="Q288" s="201"/>
      <c r="R288" s="309"/>
      <c r="S288" s="309"/>
    </row>
    <row r="289" spans="1:19" x14ac:dyDescent="0.25">
      <c r="A289" s="196"/>
      <c r="B289" s="174"/>
      <c r="C289" s="200"/>
      <c r="D289" s="179"/>
      <c r="E289" s="179"/>
      <c r="F289" s="185"/>
      <c r="G289" s="186"/>
      <c r="H289" s="182"/>
      <c r="I289" s="193">
        <f t="shared" si="24"/>
        <v>0</v>
      </c>
      <c r="J289" s="192">
        <f t="shared" si="25"/>
        <v>0</v>
      </c>
      <c r="K289" s="173"/>
      <c r="L289" s="191">
        <f t="shared" si="23"/>
        <v>0</v>
      </c>
      <c r="M289" s="190">
        <f t="shared" si="26"/>
        <v>0</v>
      </c>
      <c r="N289" s="176"/>
      <c r="O289" s="176"/>
      <c r="P289" s="201"/>
      <c r="Q289" s="201"/>
      <c r="R289" s="309"/>
      <c r="S289" s="309"/>
    </row>
    <row r="290" spans="1:19" x14ac:dyDescent="0.25">
      <c r="A290" s="196"/>
      <c r="B290" s="174"/>
      <c r="C290" s="200"/>
      <c r="D290" s="179"/>
      <c r="E290" s="179"/>
      <c r="F290" s="185"/>
      <c r="G290" s="186"/>
      <c r="H290" s="182"/>
      <c r="I290" s="193">
        <f t="shared" si="24"/>
        <v>0</v>
      </c>
      <c r="J290" s="192">
        <f t="shared" si="25"/>
        <v>0</v>
      </c>
      <c r="K290" s="173"/>
      <c r="L290" s="191">
        <f t="shared" si="23"/>
        <v>0</v>
      </c>
      <c r="M290" s="190">
        <f t="shared" si="26"/>
        <v>0</v>
      </c>
      <c r="N290" s="176"/>
      <c r="O290" s="176"/>
      <c r="P290" s="201"/>
      <c r="Q290" s="201"/>
      <c r="R290" s="309"/>
      <c r="S290" s="309"/>
    </row>
    <row r="291" spans="1:19" x14ac:dyDescent="0.25">
      <c r="A291" s="196"/>
      <c r="B291" s="174"/>
      <c r="C291" s="200"/>
      <c r="D291" s="179"/>
      <c r="E291" s="179"/>
      <c r="F291" s="185"/>
      <c r="G291" s="186"/>
      <c r="H291" s="182"/>
      <c r="I291" s="193">
        <f t="shared" si="24"/>
        <v>0</v>
      </c>
      <c r="J291" s="192">
        <f t="shared" si="25"/>
        <v>0</v>
      </c>
      <c r="K291" s="173"/>
      <c r="L291" s="191">
        <f t="shared" si="23"/>
        <v>0</v>
      </c>
      <c r="M291" s="190">
        <f t="shared" si="26"/>
        <v>0</v>
      </c>
      <c r="N291" s="176"/>
      <c r="O291" s="176"/>
      <c r="P291" s="201"/>
      <c r="Q291" s="201"/>
      <c r="R291" s="309"/>
      <c r="S291" s="309"/>
    </row>
    <row r="292" spans="1:19" x14ac:dyDescent="0.25">
      <c r="A292" s="196"/>
      <c r="B292" s="174"/>
      <c r="C292" s="200"/>
      <c r="D292" s="179"/>
      <c r="E292" s="179"/>
      <c r="F292" s="185"/>
      <c r="G292" s="186"/>
      <c r="H292" s="182"/>
      <c r="I292" s="193">
        <f t="shared" si="24"/>
        <v>0</v>
      </c>
      <c r="J292" s="192">
        <f t="shared" si="25"/>
        <v>0</v>
      </c>
      <c r="K292" s="173"/>
      <c r="L292" s="191">
        <f t="shared" si="23"/>
        <v>0</v>
      </c>
      <c r="M292" s="190">
        <f t="shared" si="26"/>
        <v>0</v>
      </c>
      <c r="N292" s="176"/>
      <c r="O292" s="176"/>
      <c r="P292" s="201"/>
      <c r="Q292" s="201"/>
      <c r="R292" s="309"/>
      <c r="S292" s="309"/>
    </row>
    <row r="293" spans="1:19" x14ac:dyDescent="0.25">
      <c r="A293" s="196"/>
      <c r="B293" s="174"/>
      <c r="C293" s="200"/>
      <c r="D293" s="179"/>
      <c r="E293" s="179"/>
      <c r="F293" s="185"/>
      <c r="G293" s="186"/>
      <c r="H293" s="182"/>
      <c r="I293" s="193">
        <f t="shared" si="24"/>
        <v>0</v>
      </c>
      <c r="J293" s="192">
        <f t="shared" si="25"/>
        <v>0</v>
      </c>
      <c r="K293" s="173"/>
      <c r="L293" s="191">
        <f t="shared" si="23"/>
        <v>0</v>
      </c>
      <c r="M293" s="190">
        <f t="shared" si="26"/>
        <v>0</v>
      </c>
      <c r="N293" s="176"/>
      <c r="O293" s="176"/>
      <c r="P293" s="201"/>
      <c r="Q293" s="201"/>
      <c r="R293" s="309"/>
      <c r="S293" s="309"/>
    </row>
    <row r="294" spans="1:19" x14ac:dyDescent="0.25">
      <c r="A294" s="196"/>
      <c r="B294" s="174"/>
      <c r="C294" s="200"/>
      <c r="D294" s="179"/>
      <c r="E294" s="179"/>
      <c r="F294" s="185"/>
      <c r="G294" s="186"/>
      <c r="H294" s="182"/>
      <c r="I294" s="193">
        <f t="shared" si="24"/>
        <v>0</v>
      </c>
      <c r="J294" s="192">
        <f t="shared" si="25"/>
        <v>0</v>
      </c>
      <c r="K294" s="173"/>
      <c r="L294" s="191">
        <f t="shared" si="23"/>
        <v>0</v>
      </c>
      <c r="M294" s="190">
        <f t="shared" si="26"/>
        <v>0</v>
      </c>
      <c r="N294" s="176"/>
      <c r="O294" s="176"/>
      <c r="P294" s="201"/>
      <c r="Q294" s="201"/>
      <c r="R294" s="309"/>
      <c r="S294" s="309"/>
    </row>
    <row r="295" spans="1:19" x14ac:dyDescent="0.25">
      <c r="A295" s="196"/>
      <c r="B295" s="174"/>
      <c r="C295" s="200"/>
      <c r="D295" s="179"/>
      <c r="E295" s="179"/>
      <c r="F295" s="185"/>
      <c r="G295" s="186"/>
      <c r="H295" s="182"/>
      <c r="I295" s="193">
        <f t="shared" si="24"/>
        <v>0</v>
      </c>
      <c r="J295" s="192">
        <f t="shared" si="25"/>
        <v>0</v>
      </c>
      <c r="K295" s="173"/>
      <c r="L295" s="191">
        <f t="shared" si="23"/>
        <v>0</v>
      </c>
      <c r="M295" s="190">
        <f t="shared" si="26"/>
        <v>0</v>
      </c>
      <c r="N295" s="176"/>
      <c r="O295" s="176"/>
      <c r="P295" s="201"/>
      <c r="Q295" s="201"/>
      <c r="R295" s="309"/>
      <c r="S295" s="309"/>
    </row>
    <row r="296" spans="1:19" x14ac:dyDescent="0.25">
      <c r="A296" s="196"/>
      <c r="B296" s="174"/>
      <c r="C296" s="200"/>
      <c r="D296" s="179"/>
      <c r="E296" s="179"/>
      <c r="F296" s="185"/>
      <c r="G296" s="186"/>
      <c r="H296" s="182"/>
      <c r="I296" s="193">
        <f t="shared" si="24"/>
        <v>0</v>
      </c>
      <c r="J296" s="192">
        <f t="shared" si="25"/>
        <v>0</v>
      </c>
      <c r="K296" s="173"/>
      <c r="L296" s="191">
        <f t="shared" si="23"/>
        <v>0</v>
      </c>
      <c r="M296" s="190">
        <f t="shared" si="26"/>
        <v>0</v>
      </c>
      <c r="N296" s="176"/>
      <c r="O296" s="176"/>
      <c r="P296" s="201"/>
      <c r="Q296" s="201"/>
      <c r="R296" s="309"/>
      <c r="S296" s="309"/>
    </row>
    <row r="297" spans="1:19" x14ac:dyDescent="0.25">
      <c r="A297" s="196"/>
      <c r="B297" s="174"/>
      <c r="C297" s="200"/>
      <c r="D297" s="179"/>
      <c r="E297" s="179"/>
      <c r="F297" s="185"/>
      <c r="G297" s="186"/>
      <c r="H297" s="182"/>
      <c r="I297" s="193">
        <f t="shared" si="24"/>
        <v>0</v>
      </c>
      <c r="J297" s="192">
        <f t="shared" si="25"/>
        <v>0</v>
      </c>
      <c r="K297" s="173"/>
      <c r="L297" s="191">
        <f t="shared" si="23"/>
        <v>0</v>
      </c>
      <c r="M297" s="190">
        <f t="shared" si="26"/>
        <v>0</v>
      </c>
      <c r="N297" s="176"/>
      <c r="O297" s="176"/>
      <c r="P297" s="201"/>
      <c r="Q297" s="201"/>
      <c r="R297" s="309"/>
      <c r="S297" s="309"/>
    </row>
    <row r="298" spans="1:19" x14ac:dyDescent="0.25">
      <c r="A298" s="196"/>
      <c r="B298" s="174"/>
      <c r="C298" s="200"/>
      <c r="D298" s="179"/>
      <c r="E298" s="179"/>
      <c r="F298" s="185"/>
      <c r="G298" s="186"/>
      <c r="H298" s="182"/>
      <c r="I298" s="193">
        <f t="shared" si="24"/>
        <v>0</v>
      </c>
      <c r="J298" s="192">
        <f t="shared" si="25"/>
        <v>0</v>
      </c>
      <c r="K298" s="173"/>
      <c r="L298" s="191">
        <f t="shared" si="23"/>
        <v>0</v>
      </c>
      <c r="M298" s="190">
        <f t="shared" si="26"/>
        <v>0</v>
      </c>
      <c r="N298" s="176"/>
      <c r="O298" s="176"/>
      <c r="P298" s="201"/>
      <c r="Q298" s="201"/>
      <c r="R298" s="309"/>
      <c r="S298" s="309"/>
    </row>
    <row r="299" spans="1:19" x14ac:dyDescent="0.25">
      <c r="A299" s="196"/>
      <c r="B299" s="174"/>
      <c r="C299" s="200"/>
      <c r="D299" s="179"/>
      <c r="E299" s="179"/>
      <c r="F299" s="185"/>
      <c r="G299" s="186"/>
      <c r="H299" s="182"/>
      <c r="I299" s="193">
        <f t="shared" si="24"/>
        <v>0</v>
      </c>
      <c r="J299" s="192">
        <f t="shared" si="25"/>
        <v>0</v>
      </c>
      <c r="K299" s="173"/>
      <c r="L299" s="191">
        <f t="shared" si="23"/>
        <v>0</v>
      </c>
      <c r="M299" s="190">
        <f t="shared" si="26"/>
        <v>0</v>
      </c>
      <c r="N299" s="176"/>
      <c r="O299" s="176"/>
      <c r="P299" s="201"/>
      <c r="Q299" s="201"/>
      <c r="R299" s="309"/>
      <c r="S299" s="309"/>
    </row>
    <row r="300" spans="1:19" x14ac:dyDescent="0.25">
      <c r="A300" s="196"/>
      <c r="B300" s="174"/>
      <c r="C300" s="200"/>
      <c r="D300" s="179"/>
      <c r="E300" s="179"/>
      <c r="F300" s="185"/>
      <c r="G300" s="186"/>
      <c r="H300" s="182"/>
      <c r="I300" s="193">
        <f t="shared" si="24"/>
        <v>0</v>
      </c>
      <c r="J300" s="192">
        <f t="shared" si="25"/>
        <v>0</v>
      </c>
      <c r="K300" s="173"/>
      <c r="L300" s="191">
        <f t="shared" si="23"/>
        <v>0</v>
      </c>
      <c r="M300" s="190">
        <f t="shared" si="26"/>
        <v>0</v>
      </c>
      <c r="N300" s="176"/>
      <c r="O300" s="176"/>
      <c r="P300" s="201"/>
      <c r="Q300" s="201"/>
      <c r="R300" s="309"/>
      <c r="S300" s="309"/>
    </row>
    <row r="301" spans="1:19" x14ac:dyDescent="0.25">
      <c r="A301" s="196"/>
      <c r="B301" s="174"/>
      <c r="C301" s="200"/>
      <c r="D301" s="179"/>
      <c r="E301" s="179"/>
      <c r="F301" s="185"/>
      <c r="G301" s="186"/>
      <c r="H301" s="182"/>
      <c r="I301" s="193">
        <f t="shared" si="24"/>
        <v>0</v>
      </c>
      <c r="J301" s="192">
        <f t="shared" si="25"/>
        <v>0</v>
      </c>
      <c r="K301" s="173"/>
      <c r="L301" s="191">
        <f t="shared" si="23"/>
        <v>0</v>
      </c>
      <c r="M301" s="190">
        <f t="shared" si="26"/>
        <v>0</v>
      </c>
      <c r="N301" s="176"/>
      <c r="O301" s="176"/>
      <c r="P301" s="201"/>
      <c r="Q301" s="201"/>
      <c r="R301" s="309"/>
      <c r="S301" s="309"/>
    </row>
    <row r="302" spans="1:19" x14ac:dyDescent="0.25">
      <c r="A302" s="196"/>
      <c r="B302" s="174"/>
      <c r="C302" s="200"/>
      <c r="D302" s="179"/>
      <c r="E302" s="179"/>
      <c r="F302" s="185"/>
      <c r="G302" s="186"/>
      <c r="H302" s="182"/>
      <c r="I302" s="193">
        <f t="shared" si="24"/>
        <v>0</v>
      </c>
      <c r="J302" s="192">
        <f t="shared" si="25"/>
        <v>0</v>
      </c>
      <c r="K302" s="173"/>
      <c r="L302" s="191">
        <f t="shared" si="23"/>
        <v>0</v>
      </c>
      <c r="M302" s="190">
        <f t="shared" si="26"/>
        <v>0</v>
      </c>
      <c r="N302" s="176"/>
      <c r="O302" s="176"/>
      <c r="P302" s="201"/>
      <c r="Q302" s="201"/>
      <c r="R302" s="309"/>
      <c r="S302" s="309"/>
    </row>
    <row r="303" spans="1:19" x14ac:dyDescent="0.25">
      <c r="A303" s="196"/>
      <c r="B303" s="174"/>
      <c r="C303" s="200"/>
      <c r="D303" s="179"/>
      <c r="E303" s="179"/>
      <c r="F303" s="185"/>
      <c r="G303" s="186"/>
      <c r="H303" s="182"/>
      <c r="I303" s="193">
        <f t="shared" si="24"/>
        <v>0</v>
      </c>
      <c r="J303" s="192">
        <f t="shared" si="25"/>
        <v>0</v>
      </c>
      <c r="K303" s="173"/>
      <c r="L303" s="191">
        <f t="shared" si="23"/>
        <v>0</v>
      </c>
      <c r="M303" s="190">
        <f t="shared" si="26"/>
        <v>0</v>
      </c>
      <c r="N303" s="176"/>
      <c r="O303" s="176"/>
      <c r="P303" s="201"/>
      <c r="Q303" s="201"/>
      <c r="R303" s="309"/>
      <c r="S303" s="309"/>
    </row>
    <row r="304" spans="1:19" x14ac:dyDescent="0.25">
      <c r="A304" s="196"/>
      <c r="B304" s="174"/>
      <c r="C304" s="200"/>
      <c r="D304" s="179"/>
      <c r="E304" s="179"/>
      <c r="F304" s="185"/>
      <c r="G304" s="186"/>
      <c r="H304" s="182"/>
      <c r="I304" s="193">
        <f t="shared" si="24"/>
        <v>0</v>
      </c>
      <c r="J304" s="192">
        <f t="shared" si="25"/>
        <v>0</v>
      </c>
      <c r="K304" s="173"/>
      <c r="L304" s="191">
        <f t="shared" si="23"/>
        <v>0</v>
      </c>
      <c r="M304" s="190">
        <f t="shared" si="26"/>
        <v>0</v>
      </c>
      <c r="N304" s="176"/>
      <c r="O304" s="176"/>
      <c r="P304" s="201"/>
      <c r="Q304" s="201"/>
      <c r="R304" s="309"/>
      <c r="S304" s="309"/>
    </row>
    <row r="305" spans="1:19" x14ac:dyDescent="0.25">
      <c r="A305" s="196"/>
      <c r="B305" s="174"/>
      <c r="C305" s="200"/>
      <c r="D305" s="179"/>
      <c r="E305" s="179"/>
      <c r="F305" s="185"/>
      <c r="G305" s="186"/>
      <c r="H305" s="182"/>
      <c r="I305" s="193">
        <f t="shared" si="24"/>
        <v>0</v>
      </c>
      <c r="J305" s="192">
        <f t="shared" si="25"/>
        <v>0</v>
      </c>
      <c r="K305" s="173"/>
      <c r="L305" s="191">
        <f t="shared" si="23"/>
        <v>0</v>
      </c>
      <c r="M305" s="190">
        <f t="shared" si="26"/>
        <v>0</v>
      </c>
      <c r="N305" s="176"/>
      <c r="O305" s="176"/>
      <c r="P305" s="201"/>
      <c r="Q305" s="201"/>
      <c r="R305" s="309"/>
      <c r="S305" s="309"/>
    </row>
    <row r="306" spans="1:19" x14ac:dyDescent="0.25">
      <c r="A306" s="196"/>
      <c r="B306" s="174"/>
      <c r="C306" s="200"/>
      <c r="D306" s="179"/>
      <c r="E306" s="179"/>
      <c r="F306" s="185"/>
      <c r="G306" s="186"/>
      <c r="H306" s="182"/>
      <c r="I306" s="193">
        <f t="shared" si="24"/>
        <v>0</v>
      </c>
      <c r="J306" s="192">
        <f t="shared" si="25"/>
        <v>0</v>
      </c>
      <c r="K306" s="173"/>
      <c r="L306" s="191">
        <f t="shared" si="23"/>
        <v>0</v>
      </c>
      <c r="M306" s="190">
        <f t="shared" si="26"/>
        <v>0</v>
      </c>
      <c r="N306" s="176"/>
      <c r="O306" s="176"/>
      <c r="P306" s="201"/>
      <c r="Q306" s="201"/>
      <c r="R306" s="309"/>
      <c r="S306" s="309"/>
    </row>
    <row r="307" spans="1:19" x14ac:dyDescent="0.25">
      <c r="A307" s="196"/>
      <c r="B307" s="174"/>
      <c r="C307" s="200"/>
      <c r="D307" s="179"/>
      <c r="E307" s="179"/>
      <c r="F307" s="185"/>
      <c r="G307" s="186"/>
      <c r="H307" s="182"/>
      <c r="I307" s="193">
        <f t="shared" si="24"/>
        <v>0</v>
      </c>
      <c r="J307" s="192">
        <f t="shared" si="25"/>
        <v>0</v>
      </c>
      <c r="K307" s="173"/>
      <c r="L307" s="191">
        <f t="shared" si="23"/>
        <v>0</v>
      </c>
      <c r="M307" s="190">
        <f t="shared" si="26"/>
        <v>0</v>
      </c>
      <c r="N307" s="176"/>
      <c r="O307" s="176"/>
      <c r="P307" s="201"/>
      <c r="Q307" s="201"/>
      <c r="R307" s="309"/>
      <c r="S307" s="309"/>
    </row>
    <row r="308" spans="1:19" x14ac:dyDescent="0.25">
      <c r="A308" s="196"/>
      <c r="B308" s="174"/>
      <c r="C308" s="200"/>
      <c r="D308" s="179"/>
      <c r="E308" s="179"/>
      <c r="F308" s="185"/>
      <c r="G308" s="186"/>
      <c r="H308" s="182"/>
      <c r="I308" s="193">
        <f t="shared" si="24"/>
        <v>0</v>
      </c>
      <c r="J308" s="192">
        <f t="shared" si="25"/>
        <v>0</v>
      </c>
      <c r="K308" s="173"/>
      <c r="L308" s="191">
        <f t="shared" si="23"/>
        <v>0</v>
      </c>
      <c r="M308" s="190">
        <f t="shared" si="26"/>
        <v>0</v>
      </c>
      <c r="N308" s="176"/>
      <c r="O308" s="176"/>
      <c r="P308" s="201"/>
      <c r="Q308" s="201"/>
      <c r="R308" s="309"/>
      <c r="S308" s="309"/>
    </row>
    <row r="309" spans="1:19" x14ac:dyDescent="0.25">
      <c r="A309" s="196"/>
      <c r="B309" s="174"/>
      <c r="C309" s="200"/>
      <c r="D309" s="179"/>
      <c r="E309" s="179"/>
      <c r="F309" s="185"/>
      <c r="G309" s="186"/>
      <c r="H309" s="182"/>
      <c r="I309" s="193">
        <f t="shared" si="24"/>
        <v>0</v>
      </c>
      <c r="J309" s="192">
        <f t="shared" si="25"/>
        <v>0</v>
      </c>
      <c r="K309" s="173"/>
      <c r="L309" s="191">
        <f t="shared" si="23"/>
        <v>0</v>
      </c>
      <c r="M309" s="190">
        <f t="shared" si="26"/>
        <v>0</v>
      </c>
      <c r="N309" s="176"/>
      <c r="O309" s="176"/>
      <c r="P309" s="201"/>
      <c r="Q309" s="201"/>
      <c r="R309" s="309"/>
      <c r="S309" s="309"/>
    </row>
    <row r="310" spans="1:19" x14ac:dyDescent="0.25">
      <c r="A310" s="196"/>
      <c r="B310" s="174"/>
      <c r="C310" s="200"/>
      <c r="D310" s="179"/>
      <c r="E310" s="179"/>
      <c r="F310" s="185"/>
      <c r="G310" s="186"/>
      <c r="H310" s="182"/>
      <c r="I310" s="193">
        <f t="shared" si="24"/>
        <v>0</v>
      </c>
      <c r="J310" s="192">
        <f t="shared" si="25"/>
        <v>0</v>
      </c>
      <c r="K310" s="173"/>
      <c r="L310" s="191">
        <f t="shared" si="23"/>
        <v>0</v>
      </c>
      <c r="M310" s="190">
        <f t="shared" si="26"/>
        <v>0</v>
      </c>
      <c r="N310" s="176"/>
      <c r="O310" s="176"/>
      <c r="P310" s="201"/>
      <c r="Q310" s="201"/>
      <c r="R310" s="309"/>
      <c r="S310" s="309"/>
    </row>
    <row r="311" spans="1:19" x14ac:dyDescent="0.25">
      <c r="A311" s="196"/>
      <c r="B311" s="174"/>
      <c r="C311" s="200"/>
      <c r="D311" s="179"/>
      <c r="E311" s="179"/>
      <c r="F311" s="185"/>
      <c r="G311" s="186"/>
      <c r="H311" s="182"/>
      <c r="I311" s="193">
        <f t="shared" si="24"/>
        <v>0</v>
      </c>
      <c r="J311" s="192">
        <f t="shared" si="25"/>
        <v>0</v>
      </c>
      <c r="K311" s="173"/>
      <c r="L311" s="191">
        <f t="shared" si="23"/>
        <v>0</v>
      </c>
      <c r="M311" s="190">
        <f t="shared" si="26"/>
        <v>0</v>
      </c>
      <c r="N311" s="176"/>
      <c r="O311" s="176"/>
      <c r="P311" s="201"/>
      <c r="Q311" s="201"/>
      <c r="R311" s="309"/>
      <c r="S311" s="309"/>
    </row>
    <row r="312" spans="1:19" x14ac:dyDescent="0.25">
      <c r="A312" s="196"/>
      <c r="B312" s="174"/>
      <c r="C312" s="200"/>
      <c r="D312" s="179"/>
      <c r="E312" s="179"/>
      <c r="F312" s="185"/>
      <c r="G312" s="186"/>
      <c r="H312" s="182"/>
      <c r="I312" s="193">
        <f t="shared" si="24"/>
        <v>0</v>
      </c>
      <c r="J312" s="192">
        <f t="shared" si="25"/>
        <v>0</v>
      </c>
      <c r="K312" s="173"/>
      <c r="L312" s="191">
        <f t="shared" si="23"/>
        <v>0</v>
      </c>
      <c r="M312" s="190">
        <f t="shared" si="26"/>
        <v>0</v>
      </c>
      <c r="N312" s="176"/>
      <c r="O312" s="176"/>
      <c r="P312" s="201"/>
      <c r="Q312" s="201"/>
      <c r="R312" s="309"/>
      <c r="S312" s="309"/>
    </row>
    <row r="313" spans="1:19" x14ac:dyDescent="0.25">
      <c r="A313" s="196"/>
      <c r="B313" s="174"/>
      <c r="C313" s="200"/>
      <c r="D313" s="179"/>
      <c r="E313" s="179"/>
      <c r="F313" s="185"/>
      <c r="G313" s="186"/>
      <c r="H313" s="182"/>
      <c r="I313" s="193">
        <f t="shared" si="24"/>
        <v>0</v>
      </c>
      <c r="J313" s="192">
        <f t="shared" si="25"/>
        <v>0</v>
      </c>
      <c r="K313" s="173"/>
      <c r="L313" s="191">
        <f t="shared" si="23"/>
        <v>0</v>
      </c>
      <c r="M313" s="190">
        <f t="shared" si="26"/>
        <v>0</v>
      </c>
      <c r="N313" s="176"/>
      <c r="O313" s="176"/>
      <c r="P313" s="201"/>
      <c r="Q313" s="201"/>
      <c r="R313" s="309"/>
      <c r="S313" s="309"/>
    </row>
    <row r="314" spans="1:19" x14ac:dyDescent="0.25">
      <c r="A314" s="196"/>
      <c r="B314" s="174"/>
      <c r="C314" s="200"/>
      <c r="D314" s="179"/>
      <c r="E314" s="179"/>
      <c r="F314" s="185"/>
      <c r="G314" s="186"/>
      <c r="H314" s="182"/>
      <c r="I314" s="193">
        <f t="shared" si="24"/>
        <v>0</v>
      </c>
      <c r="J314" s="192">
        <f t="shared" si="25"/>
        <v>0</v>
      </c>
      <c r="K314" s="173"/>
      <c r="L314" s="191">
        <f t="shared" si="23"/>
        <v>0</v>
      </c>
      <c r="M314" s="190">
        <f t="shared" si="26"/>
        <v>0</v>
      </c>
      <c r="N314" s="176"/>
      <c r="O314" s="176"/>
      <c r="P314" s="201"/>
      <c r="Q314" s="201"/>
      <c r="R314" s="309"/>
      <c r="S314" s="309"/>
    </row>
    <row r="315" spans="1:19" x14ac:dyDescent="0.25">
      <c r="A315" s="196"/>
      <c r="B315" s="174"/>
      <c r="C315" s="200"/>
      <c r="D315" s="179"/>
      <c r="E315" s="179"/>
      <c r="F315" s="185"/>
      <c r="G315" s="186"/>
      <c r="H315" s="182"/>
      <c r="I315" s="193">
        <f t="shared" si="24"/>
        <v>0</v>
      </c>
      <c r="J315" s="192">
        <f t="shared" si="25"/>
        <v>0</v>
      </c>
      <c r="K315" s="173"/>
      <c r="L315" s="191">
        <f t="shared" si="23"/>
        <v>0</v>
      </c>
      <c r="M315" s="190">
        <f t="shared" si="26"/>
        <v>0</v>
      </c>
      <c r="N315" s="176"/>
      <c r="O315" s="176"/>
      <c r="P315" s="201"/>
      <c r="Q315" s="201"/>
      <c r="R315" s="309"/>
      <c r="S315" s="309"/>
    </row>
    <row r="316" spans="1:19" x14ac:dyDescent="0.25">
      <c r="A316" s="196"/>
      <c r="B316" s="174"/>
      <c r="C316" s="200"/>
      <c r="D316" s="179"/>
      <c r="E316" s="179"/>
      <c r="F316" s="185"/>
      <c r="G316" s="186"/>
      <c r="H316" s="182"/>
      <c r="I316" s="193">
        <f t="shared" si="24"/>
        <v>0</v>
      </c>
      <c r="J316" s="192">
        <f t="shared" si="25"/>
        <v>0</v>
      </c>
      <c r="K316" s="173"/>
      <c r="L316" s="191">
        <f t="shared" si="23"/>
        <v>0</v>
      </c>
      <c r="M316" s="190">
        <f t="shared" si="26"/>
        <v>0</v>
      </c>
      <c r="N316" s="176"/>
      <c r="O316" s="176"/>
      <c r="P316" s="201"/>
      <c r="Q316" s="201"/>
      <c r="R316" s="309"/>
      <c r="S316" s="309"/>
    </row>
    <row r="317" spans="1:19" x14ac:dyDescent="0.25">
      <c r="A317" s="196"/>
      <c r="B317" s="174"/>
      <c r="C317" s="200"/>
      <c r="D317" s="179"/>
      <c r="E317" s="179"/>
      <c r="F317" s="185"/>
      <c r="G317" s="186"/>
      <c r="H317" s="182"/>
      <c r="I317" s="193">
        <f t="shared" si="24"/>
        <v>0</v>
      </c>
      <c r="J317" s="192">
        <f t="shared" si="25"/>
        <v>0</v>
      </c>
      <c r="K317" s="173"/>
      <c r="L317" s="191">
        <f t="shared" si="23"/>
        <v>0</v>
      </c>
      <c r="M317" s="190">
        <f t="shared" si="26"/>
        <v>0</v>
      </c>
      <c r="N317" s="176"/>
      <c r="O317" s="176"/>
      <c r="P317" s="201"/>
      <c r="Q317" s="201"/>
      <c r="R317" s="309"/>
      <c r="S317" s="309"/>
    </row>
    <row r="318" spans="1:19" x14ac:dyDescent="0.25">
      <c r="A318" s="196"/>
      <c r="B318" s="174"/>
      <c r="C318" s="200"/>
      <c r="D318" s="179"/>
      <c r="E318" s="179"/>
      <c r="F318" s="185"/>
      <c r="G318" s="186"/>
      <c r="H318" s="182"/>
      <c r="I318" s="193">
        <f t="shared" si="24"/>
        <v>0</v>
      </c>
      <c r="J318" s="192">
        <f t="shared" si="25"/>
        <v>0</v>
      </c>
      <c r="K318" s="173"/>
      <c r="L318" s="191">
        <f t="shared" si="23"/>
        <v>0</v>
      </c>
      <c r="M318" s="190">
        <f t="shared" si="26"/>
        <v>0</v>
      </c>
      <c r="N318" s="176"/>
      <c r="O318" s="176"/>
      <c r="P318" s="201"/>
      <c r="Q318" s="201"/>
      <c r="R318" s="309"/>
      <c r="S318" s="309"/>
    </row>
    <row r="319" spans="1:19" x14ac:dyDescent="0.25">
      <c r="A319" s="196"/>
      <c r="B319" s="174"/>
      <c r="C319" s="200"/>
      <c r="D319" s="179"/>
      <c r="E319" s="179"/>
      <c r="F319" s="185"/>
      <c r="G319" s="186"/>
      <c r="H319" s="182"/>
      <c r="I319" s="193">
        <f t="shared" si="24"/>
        <v>0</v>
      </c>
      <c r="J319" s="192">
        <f t="shared" si="25"/>
        <v>0</v>
      </c>
      <c r="K319" s="173"/>
      <c r="L319" s="191">
        <f t="shared" si="23"/>
        <v>0</v>
      </c>
      <c r="M319" s="190">
        <f t="shared" si="26"/>
        <v>0</v>
      </c>
      <c r="N319" s="176"/>
      <c r="O319" s="176"/>
      <c r="P319" s="201"/>
      <c r="Q319" s="201"/>
      <c r="R319" s="309"/>
      <c r="S319" s="309"/>
    </row>
    <row r="320" spans="1:19" x14ac:dyDescent="0.25">
      <c r="A320" s="196"/>
      <c r="B320" s="174"/>
      <c r="C320" s="200"/>
      <c r="D320" s="179"/>
      <c r="E320" s="179"/>
      <c r="F320" s="185"/>
      <c r="G320" s="186"/>
      <c r="H320" s="182"/>
      <c r="I320" s="193">
        <f t="shared" si="24"/>
        <v>0</v>
      </c>
      <c r="J320" s="192">
        <f t="shared" si="25"/>
        <v>0</v>
      </c>
      <c r="K320" s="173"/>
      <c r="L320" s="191">
        <f t="shared" si="23"/>
        <v>0</v>
      </c>
      <c r="M320" s="190">
        <f t="shared" si="26"/>
        <v>0</v>
      </c>
      <c r="N320" s="176"/>
      <c r="O320" s="176"/>
      <c r="P320" s="201"/>
      <c r="Q320" s="201"/>
      <c r="R320" s="309"/>
      <c r="S320" s="309"/>
    </row>
    <row r="321" spans="1:19" x14ac:dyDescent="0.25">
      <c r="A321" s="196"/>
      <c r="B321" s="174"/>
      <c r="C321" s="200"/>
      <c r="D321" s="179"/>
      <c r="E321" s="179"/>
      <c r="F321" s="185"/>
      <c r="G321" s="186"/>
      <c r="H321" s="182"/>
      <c r="I321" s="193">
        <f t="shared" si="24"/>
        <v>0</v>
      </c>
      <c r="J321" s="192">
        <f t="shared" si="25"/>
        <v>0</v>
      </c>
      <c r="K321" s="173"/>
      <c r="L321" s="191">
        <f t="shared" si="23"/>
        <v>0</v>
      </c>
      <c r="M321" s="190">
        <f t="shared" si="26"/>
        <v>0</v>
      </c>
      <c r="N321" s="176"/>
      <c r="O321" s="176"/>
      <c r="P321" s="201"/>
      <c r="Q321" s="201"/>
      <c r="R321" s="309"/>
      <c r="S321" s="309"/>
    </row>
    <row r="322" spans="1:19" x14ac:dyDescent="0.25">
      <c r="A322" s="196"/>
      <c r="B322" s="174"/>
      <c r="C322" s="200"/>
      <c r="D322" s="179"/>
      <c r="E322" s="179"/>
      <c r="F322" s="185"/>
      <c r="G322" s="186"/>
      <c r="H322" s="182"/>
      <c r="I322" s="193">
        <f t="shared" si="24"/>
        <v>0</v>
      </c>
      <c r="J322" s="192">
        <f t="shared" si="25"/>
        <v>0</v>
      </c>
      <c r="K322" s="173"/>
      <c r="L322" s="191">
        <f t="shared" si="23"/>
        <v>0</v>
      </c>
      <c r="M322" s="190">
        <f t="shared" si="26"/>
        <v>0</v>
      </c>
      <c r="N322" s="176"/>
      <c r="O322" s="176"/>
      <c r="P322" s="201"/>
      <c r="Q322" s="201"/>
      <c r="R322" s="309"/>
      <c r="S322" s="309"/>
    </row>
    <row r="323" spans="1:19" x14ac:dyDescent="0.25">
      <c r="A323" s="196"/>
      <c r="B323" s="174"/>
      <c r="C323" s="200"/>
      <c r="D323" s="179"/>
      <c r="E323" s="179"/>
      <c r="F323" s="185"/>
      <c r="G323" s="186"/>
      <c r="H323" s="182"/>
      <c r="I323" s="193">
        <f t="shared" si="24"/>
        <v>0</v>
      </c>
      <c r="J323" s="192">
        <f t="shared" si="25"/>
        <v>0</v>
      </c>
      <c r="K323" s="173"/>
      <c r="L323" s="191">
        <f t="shared" si="23"/>
        <v>0</v>
      </c>
      <c r="M323" s="190">
        <f t="shared" si="26"/>
        <v>0</v>
      </c>
      <c r="N323" s="176"/>
      <c r="O323" s="176"/>
      <c r="P323" s="201"/>
      <c r="Q323" s="201"/>
      <c r="R323" s="309"/>
      <c r="S323" s="309"/>
    </row>
    <row r="324" spans="1:19" x14ac:dyDescent="0.25">
      <c r="A324" s="196"/>
      <c r="B324" s="174"/>
      <c r="C324" s="200"/>
      <c r="D324" s="179"/>
      <c r="E324" s="179"/>
      <c r="F324" s="185"/>
      <c r="G324" s="186"/>
      <c r="H324" s="182"/>
      <c r="I324" s="193">
        <f t="shared" si="24"/>
        <v>0</v>
      </c>
      <c r="J324" s="192">
        <f t="shared" si="25"/>
        <v>0</v>
      </c>
      <c r="K324" s="173"/>
      <c r="L324" s="191">
        <f t="shared" ref="L324:L387" si="27">K324*I324</f>
        <v>0</v>
      </c>
      <c r="M324" s="190">
        <f t="shared" si="26"/>
        <v>0</v>
      </c>
      <c r="N324" s="176"/>
      <c r="O324" s="176"/>
      <c r="P324" s="201"/>
      <c r="Q324" s="201"/>
      <c r="R324" s="309"/>
      <c r="S324" s="309"/>
    </row>
    <row r="325" spans="1:19" x14ac:dyDescent="0.25">
      <c r="A325" s="196"/>
      <c r="B325" s="174"/>
      <c r="C325" s="200"/>
      <c r="D325" s="179"/>
      <c r="E325" s="179"/>
      <c r="F325" s="185"/>
      <c r="G325" s="186"/>
      <c r="H325" s="182"/>
      <c r="I325" s="193">
        <f t="shared" ref="I325:I388" si="28">F325*G325</f>
        <v>0</v>
      </c>
      <c r="J325" s="192">
        <f t="shared" si="25"/>
        <v>0</v>
      </c>
      <c r="K325" s="173"/>
      <c r="L325" s="191">
        <f t="shared" si="27"/>
        <v>0</v>
      </c>
      <c r="M325" s="190">
        <f t="shared" si="26"/>
        <v>0</v>
      </c>
      <c r="N325" s="176"/>
      <c r="O325" s="176"/>
      <c r="P325" s="201"/>
      <c r="Q325" s="201"/>
      <c r="R325" s="309"/>
      <c r="S325" s="309"/>
    </row>
    <row r="326" spans="1:19" x14ac:dyDescent="0.25">
      <c r="A326" s="196"/>
      <c r="B326" s="174"/>
      <c r="C326" s="200"/>
      <c r="D326" s="179"/>
      <c r="E326" s="179"/>
      <c r="F326" s="185"/>
      <c r="G326" s="186"/>
      <c r="H326" s="182"/>
      <c r="I326" s="193">
        <f t="shared" si="28"/>
        <v>0</v>
      </c>
      <c r="J326" s="192">
        <f t="shared" ref="J326:J389" si="29">F326*H326</f>
        <v>0</v>
      </c>
      <c r="K326" s="173"/>
      <c r="L326" s="191">
        <f t="shared" si="27"/>
        <v>0</v>
      </c>
      <c r="M326" s="190">
        <f t="shared" ref="M326:M389" si="30">K326*J326</f>
        <v>0</v>
      </c>
      <c r="N326" s="176"/>
      <c r="O326" s="176"/>
      <c r="P326" s="201"/>
      <c r="Q326" s="201"/>
      <c r="R326" s="309"/>
      <c r="S326" s="309"/>
    </row>
    <row r="327" spans="1:19" x14ac:dyDescent="0.25">
      <c r="A327" s="196"/>
      <c r="B327" s="174"/>
      <c r="C327" s="200"/>
      <c r="D327" s="179"/>
      <c r="E327" s="179"/>
      <c r="F327" s="185"/>
      <c r="G327" s="186"/>
      <c r="H327" s="182"/>
      <c r="I327" s="193">
        <f t="shared" si="28"/>
        <v>0</v>
      </c>
      <c r="J327" s="192">
        <f t="shared" si="29"/>
        <v>0</v>
      </c>
      <c r="K327" s="173"/>
      <c r="L327" s="191">
        <f t="shared" si="27"/>
        <v>0</v>
      </c>
      <c r="M327" s="190">
        <f t="shared" si="30"/>
        <v>0</v>
      </c>
      <c r="N327" s="176"/>
      <c r="O327" s="176"/>
      <c r="P327" s="201"/>
      <c r="Q327" s="201"/>
      <c r="R327" s="309"/>
      <c r="S327" s="309"/>
    </row>
    <row r="328" spans="1:19" x14ac:dyDescent="0.25">
      <c r="A328" s="196"/>
      <c r="B328" s="174"/>
      <c r="C328" s="200"/>
      <c r="D328" s="179"/>
      <c r="E328" s="179"/>
      <c r="F328" s="185"/>
      <c r="G328" s="186"/>
      <c r="H328" s="182"/>
      <c r="I328" s="193">
        <f t="shared" si="28"/>
        <v>0</v>
      </c>
      <c r="J328" s="192">
        <f t="shared" si="29"/>
        <v>0</v>
      </c>
      <c r="K328" s="173"/>
      <c r="L328" s="191">
        <f t="shared" si="27"/>
        <v>0</v>
      </c>
      <c r="M328" s="190">
        <f t="shared" si="30"/>
        <v>0</v>
      </c>
      <c r="N328" s="176"/>
      <c r="O328" s="176"/>
      <c r="P328" s="201"/>
      <c r="Q328" s="201"/>
      <c r="R328" s="309"/>
      <c r="S328" s="309"/>
    </row>
    <row r="329" spans="1:19" x14ac:dyDescent="0.25">
      <c r="A329" s="196"/>
      <c r="B329" s="174"/>
      <c r="C329" s="200"/>
      <c r="D329" s="179"/>
      <c r="E329" s="179"/>
      <c r="F329" s="185"/>
      <c r="G329" s="186"/>
      <c r="H329" s="182"/>
      <c r="I329" s="193">
        <f t="shared" si="28"/>
        <v>0</v>
      </c>
      <c r="J329" s="192">
        <f t="shared" si="29"/>
        <v>0</v>
      </c>
      <c r="K329" s="173"/>
      <c r="L329" s="191">
        <f t="shared" si="27"/>
        <v>0</v>
      </c>
      <c r="M329" s="190">
        <f t="shared" si="30"/>
        <v>0</v>
      </c>
      <c r="N329" s="176"/>
      <c r="O329" s="176"/>
      <c r="P329" s="201"/>
      <c r="Q329" s="201"/>
      <c r="R329" s="309"/>
      <c r="S329" s="309"/>
    </row>
    <row r="330" spans="1:19" x14ac:dyDescent="0.25">
      <c r="A330" s="196"/>
      <c r="B330" s="174"/>
      <c r="C330" s="200"/>
      <c r="D330" s="179"/>
      <c r="E330" s="179"/>
      <c r="F330" s="185"/>
      <c r="G330" s="186"/>
      <c r="H330" s="182"/>
      <c r="I330" s="193">
        <f t="shared" si="28"/>
        <v>0</v>
      </c>
      <c r="J330" s="192">
        <f t="shared" si="29"/>
        <v>0</v>
      </c>
      <c r="K330" s="173"/>
      <c r="L330" s="191">
        <f t="shared" si="27"/>
        <v>0</v>
      </c>
      <c r="M330" s="190">
        <f t="shared" si="30"/>
        <v>0</v>
      </c>
      <c r="N330" s="176"/>
      <c r="O330" s="176"/>
      <c r="P330" s="201"/>
      <c r="Q330" s="201"/>
      <c r="R330" s="309"/>
      <c r="S330" s="309"/>
    </row>
    <row r="331" spans="1:19" x14ac:dyDescent="0.25">
      <c r="A331" s="196"/>
      <c r="B331" s="174"/>
      <c r="C331" s="200"/>
      <c r="D331" s="179"/>
      <c r="E331" s="179"/>
      <c r="F331" s="185"/>
      <c r="G331" s="186"/>
      <c r="H331" s="182"/>
      <c r="I331" s="193">
        <f t="shared" si="28"/>
        <v>0</v>
      </c>
      <c r="J331" s="192">
        <f t="shared" si="29"/>
        <v>0</v>
      </c>
      <c r="K331" s="173"/>
      <c r="L331" s="191">
        <f t="shared" si="27"/>
        <v>0</v>
      </c>
      <c r="M331" s="190">
        <f t="shared" si="30"/>
        <v>0</v>
      </c>
      <c r="N331" s="176"/>
      <c r="O331" s="176"/>
      <c r="P331" s="201"/>
      <c r="Q331" s="201"/>
      <c r="R331" s="309"/>
      <c r="S331" s="309"/>
    </row>
    <row r="332" spans="1:19" x14ac:dyDescent="0.25">
      <c r="A332" s="196"/>
      <c r="B332" s="174"/>
      <c r="C332" s="200"/>
      <c r="D332" s="179"/>
      <c r="E332" s="179"/>
      <c r="F332" s="185"/>
      <c r="G332" s="186"/>
      <c r="H332" s="182"/>
      <c r="I332" s="193">
        <f t="shared" si="28"/>
        <v>0</v>
      </c>
      <c r="J332" s="192">
        <f t="shared" si="29"/>
        <v>0</v>
      </c>
      <c r="K332" s="173"/>
      <c r="L332" s="191">
        <f t="shared" si="27"/>
        <v>0</v>
      </c>
      <c r="M332" s="190">
        <f t="shared" si="30"/>
        <v>0</v>
      </c>
      <c r="N332" s="176"/>
      <c r="O332" s="176"/>
      <c r="P332" s="201"/>
      <c r="Q332" s="201"/>
      <c r="R332" s="309"/>
      <c r="S332" s="309"/>
    </row>
    <row r="333" spans="1:19" x14ac:dyDescent="0.25">
      <c r="A333" s="196"/>
      <c r="B333" s="174"/>
      <c r="C333" s="200"/>
      <c r="D333" s="179"/>
      <c r="E333" s="179"/>
      <c r="F333" s="185"/>
      <c r="G333" s="186"/>
      <c r="H333" s="182"/>
      <c r="I333" s="193">
        <f t="shared" si="28"/>
        <v>0</v>
      </c>
      <c r="J333" s="192">
        <f t="shared" si="29"/>
        <v>0</v>
      </c>
      <c r="K333" s="173"/>
      <c r="L333" s="191">
        <f t="shared" si="27"/>
        <v>0</v>
      </c>
      <c r="M333" s="190">
        <f t="shared" si="30"/>
        <v>0</v>
      </c>
      <c r="N333" s="176"/>
      <c r="O333" s="176"/>
      <c r="P333" s="201"/>
      <c r="Q333" s="201"/>
      <c r="R333" s="309"/>
      <c r="S333" s="309"/>
    </row>
    <row r="334" spans="1:19" x14ac:dyDescent="0.25">
      <c r="A334" s="196"/>
      <c r="B334" s="174"/>
      <c r="C334" s="200"/>
      <c r="D334" s="179"/>
      <c r="E334" s="179"/>
      <c r="F334" s="185"/>
      <c r="G334" s="186"/>
      <c r="H334" s="182"/>
      <c r="I334" s="193">
        <f t="shared" si="28"/>
        <v>0</v>
      </c>
      <c r="J334" s="192">
        <f t="shared" si="29"/>
        <v>0</v>
      </c>
      <c r="K334" s="173"/>
      <c r="L334" s="191">
        <f t="shared" si="27"/>
        <v>0</v>
      </c>
      <c r="M334" s="190">
        <f t="shared" si="30"/>
        <v>0</v>
      </c>
      <c r="N334" s="176"/>
      <c r="O334" s="176"/>
      <c r="P334" s="201"/>
      <c r="Q334" s="201"/>
      <c r="R334" s="309"/>
      <c r="S334" s="309"/>
    </row>
    <row r="335" spans="1:19" x14ac:dyDescent="0.25">
      <c r="A335" s="196"/>
      <c r="B335" s="174"/>
      <c r="C335" s="200"/>
      <c r="D335" s="179"/>
      <c r="E335" s="179"/>
      <c r="F335" s="185"/>
      <c r="G335" s="186"/>
      <c r="H335" s="182"/>
      <c r="I335" s="193">
        <f t="shared" si="28"/>
        <v>0</v>
      </c>
      <c r="J335" s="192">
        <f t="shared" si="29"/>
        <v>0</v>
      </c>
      <c r="K335" s="173"/>
      <c r="L335" s="191">
        <f t="shared" si="27"/>
        <v>0</v>
      </c>
      <c r="M335" s="190">
        <f t="shared" si="30"/>
        <v>0</v>
      </c>
      <c r="N335" s="176"/>
      <c r="O335" s="176"/>
      <c r="P335" s="201"/>
      <c r="Q335" s="201"/>
      <c r="R335" s="309"/>
      <c r="S335" s="309"/>
    </row>
    <row r="336" spans="1:19" x14ac:dyDescent="0.25">
      <c r="A336" s="196"/>
      <c r="B336" s="174"/>
      <c r="C336" s="200"/>
      <c r="D336" s="179"/>
      <c r="E336" s="179"/>
      <c r="F336" s="185"/>
      <c r="G336" s="186"/>
      <c r="H336" s="182"/>
      <c r="I336" s="193">
        <f t="shared" si="28"/>
        <v>0</v>
      </c>
      <c r="J336" s="192">
        <f t="shared" si="29"/>
        <v>0</v>
      </c>
      <c r="K336" s="173"/>
      <c r="L336" s="191">
        <f t="shared" si="27"/>
        <v>0</v>
      </c>
      <c r="M336" s="190">
        <f t="shared" si="30"/>
        <v>0</v>
      </c>
      <c r="N336" s="176"/>
      <c r="O336" s="176"/>
      <c r="P336" s="201"/>
      <c r="Q336" s="201"/>
      <c r="R336" s="309"/>
      <c r="S336" s="309"/>
    </row>
    <row r="337" spans="1:19" x14ac:dyDescent="0.25">
      <c r="A337" s="196"/>
      <c r="B337" s="174"/>
      <c r="C337" s="200"/>
      <c r="D337" s="179"/>
      <c r="E337" s="179"/>
      <c r="F337" s="185"/>
      <c r="G337" s="186"/>
      <c r="H337" s="182"/>
      <c r="I337" s="193">
        <f t="shared" si="28"/>
        <v>0</v>
      </c>
      <c r="J337" s="192">
        <f t="shared" si="29"/>
        <v>0</v>
      </c>
      <c r="K337" s="173"/>
      <c r="L337" s="191">
        <f t="shared" si="27"/>
        <v>0</v>
      </c>
      <c r="M337" s="190">
        <f t="shared" si="30"/>
        <v>0</v>
      </c>
      <c r="N337" s="176"/>
      <c r="O337" s="176"/>
      <c r="P337" s="201"/>
      <c r="Q337" s="201"/>
      <c r="R337" s="309"/>
      <c r="S337" s="309"/>
    </row>
    <row r="338" spans="1:19" x14ac:dyDescent="0.25">
      <c r="A338" s="196"/>
      <c r="B338" s="174"/>
      <c r="C338" s="200"/>
      <c r="D338" s="179"/>
      <c r="E338" s="179"/>
      <c r="F338" s="185"/>
      <c r="G338" s="186"/>
      <c r="H338" s="182"/>
      <c r="I338" s="193">
        <f t="shared" si="28"/>
        <v>0</v>
      </c>
      <c r="J338" s="192">
        <f t="shared" si="29"/>
        <v>0</v>
      </c>
      <c r="K338" s="173"/>
      <c r="L338" s="191">
        <f t="shared" si="27"/>
        <v>0</v>
      </c>
      <c r="M338" s="190">
        <f t="shared" si="30"/>
        <v>0</v>
      </c>
      <c r="N338" s="176"/>
      <c r="O338" s="176"/>
      <c r="P338" s="201"/>
      <c r="Q338" s="201"/>
      <c r="R338" s="309"/>
      <c r="S338" s="309"/>
    </row>
    <row r="339" spans="1:19" x14ac:dyDescent="0.25">
      <c r="A339" s="196"/>
      <c r="B339" s="174"/>
      <c r="C339" s="200"/>
      <c r="D339" s="179"/>
      <c r="E339" s="179"/>
      <c r="F339" s="185"/>
      <c r="G339" s="186"/>
      <c r="H339" s="182"/>
      <c r="I339" s="193">
        <f t="shared" si="28"/>
        <v>0</v>
      </c>
      <c r="J339" s="192">
        <f t="shared" si="29"/>
        <v>0</v>
      </c>
      <c r="K339" s="173"/>
      <c r="L339" s="191">
        <f t="shared" si="27"/>
        <v>0</v>
      </c>
      <c r="M339" s="190">
        <f t="shared" si="30"/>
        <v>0</v>
      </c>
      <c r="N339" s="176"/>
      <c r="O339" s="176"/>
      <c r="P339" s="201"/>
      <c r="Q339" s="201"/>
      <c r="R339" s="309"/>
      <c r="S339" s="309"/>
    </row>
    <row r="340" spans="1:19" x14ac:dyDescent="0.25">
      <c r="A340" s="196"/>
      <c r="B340" s="174"/>
      <c r="C340" s="200"/>
      <c r="D340" s="179"/>
      <c r="E340" s="179"/>
      <c r="F340" s="185"/>
      <c r="G340" s="186"/>
      <c r="H340" s="182"/>
      <c r="I340" s="193">
        <f t="shared" si="28"/>
        <v>0</v>
      </c>
      <c r="J340" s="192">
        <f t="shared" si="29"/>
        <v>0</v>
      </c>
      <c r="K340" s="173"/>
      <c r="L340" s="191">
        <f t="shared" si="27"/>
        <v>0</v>
      </c>
      <c r="M340" s="190">
        <f t="shared" si="30"/>
        <v>0</v>
      </c>
      <c r="N340" s="176"/>
      <c r="O340" s="176"/>
      <c r="P340" s="201"/>
      <c r="Q340" s="201"/>
      <c r="R340" s="309"/>
      <c r="S340" s="309"/>
    </row>
    <row r="341" spans="1:19" x14ac:dyDescent="0.25">
      <c r="A341" s="196"/>
      <c r="B341" s="174"/>
      <c r="C341" s="200"/>
      <c r="D341" s="179"/>
      <c r="E341" s="179"/>
      <c r="F341" s="185"/>
      <c r="G341" s="186"/>
      <c r="H341" s="182"/>
      <c r="I341" s="193">
        <f t="shared" si="28"/>
        <v>0</v>
      </c>
      <c r="J341" s="192">
        <f t="shared" si="29"/>
        <v>0</v>
      </c>
      <c r="K341" s="173"/>
      <c r="L341" s="191">
        <f t="shared" si="27"/>
        <v>0</v>
      </c>
      <c r="M341" s="190">
        <f t="shared" si="30"/>
        <v>0</v>
      </c>
      <c r="N341" s="176"/>
      <c r="O341" s="176"/>
      <c r="P341" s="201"/>
      <c r="Q341" s="201"/>
      <c r="R341" s="309"/>
      <c r="S341" s="309"/>
    </row>
    <row r="342" spans="1:19" x14ac:dyDescent="0.25">
      <c r="A342" s="196"/>
      <c r="B342" s="174"/>
      <c r="C342" s="200"/>
      <c r="D342" s="179"/>
      <c r="E342" s="179"/>
      <c r="F342" s="185"/>
      <c r="G342" s="186"/>
      <c r="H342" s="182"/>
      <c r="I342" s="193">
        <f t="shared" si="28"/>
        <v>0</v>
      </c>
      <c r="J342" s="192">
        <f t="shared" si="29"/>
        <v>0</v>
      </c>
      <c r="K342" s="173"/>
      <c r="L342" s="191">
        <f t="shared" si="27"/>
        <v>0</v>
      </c>
      <c r="M342" s="190">
        <f t="shared" si="30"/>
        <v>0</v>
      </c>
      <c r="N342" s="176"/>
      <c r="O342" s="176"/>
      <c r="P342" s="201"/>
      <c r="Q342" s="201"/>
      <c r="R342" s="309"/>
      <c r="S342" s="309"/>
    </row>
    <row r="343" spans="1:19" x14ac:dyDescent="0.25">
      <c r="A343" s="196"/>
      <c r="B343" s="174"/>
      <c r="C343" s="200"/>
      <c r="D343" s="179"/>
      <c r="E343" s="179"/>
      <c r="F343" s="185"/>
      <c r="G343" s="186"/>
      <c r="H343" s="182"/>
      <c r="I343" s="193">
        <f t="shared" si="28"/>
        <v>0</v>
      </c>
      <c r="J343" s="192">
        <f t="shared" si="29"/>
        <v>0</v>
      </c>
      <c r="K343" s="173"/>
      <c r="L343" s="191">
        <f t="shared" si="27"/>
        <v>0</v>
      </c>
      <c r="M343" s="190">
        <f t="shared" si="30"/>
        <v>0</v>
      </c>
      <c r="N343" s="176"/>
      <c r="O343" s="176"/>
      <c r="P343" s="201"/>
      <c r="Q343" s="201"/>
      <c r="R343" s="309"/>
      <c r="S343" s="309"/>
    </row>
    <row r="344" spans="1:19" x14ac:dyDescent="0.25">
      <c r="A344" s="196"/>
      <c r="B344" s="174"/>
      <c r="C344" s="200"/>
      <c r="D344" s="179"/>
      <c r="E344" s="179"/>
      <c r="F344" s="185"/>
      <c r="G344" s="186"/>
      <c r="H344" s="182"/>
      <c r="I344" s="193">
        <f t="shared" si="28"/>
        <v>0</v>
      </c>
      <c r="J344" s="192">
        <f t="shared" si="29"/>
        <v>0</v>
      </c>
      <c r="K344" s="173"/>
      <c r="L344" s="191">
        <f t="shared" si="27"/>
        <v>0</v>
      </c>
      <c r="M344" s="190">
        <f t="shared" si="30"/>
        <v>0</v>
      </c>
      <c r="N344" s="176"/>
      <c r="O344" s="176"/>
      <c r="P344" s="201"/>
      <c r="Q344" s="201"/>
      <c r="R344" s="309"/>
      <c r="S344" s="309"/>
    </row>
    <row r="345" spans="1:19" x14ac:dyDescent="0.25">
      <c r="A345" s="196"/>
      <c r="B345" s="174"/>
      <c r="C345" s="200"/>
      <c r="D345" s="179"/>
      <c r="E345" s="179"/>
      <c r="F345" s="185"/>
      <c r="G345" s="186"/>
      <c r="H345" s="182"/>
      <c r="I345" s="193">
        <f t="shared" si="28"/>
        <v>0</v>
      </c>
      <c r="J345" s="192">
        <f t="shared" si="29"/>
        <v>0</v>
      </c>
      <c r="K345" s="173"/>
      <c r="L345" s="191">
        <f t="shared" si="27"/>
        <v>0</v>
      </c>
      <c r="M345" s="190">
        <f t="shared" si="30"/>
        <v>0</v>
      </c>
      <c r="N345" s="176"/>
      <c r="O345" s="176"/>
      <c r="P345" s="201"/>
      <c r="Q345" s="201"/>
      <c r="R345" s="309"/>
      <c r="S345" s="309"/>
    </row>
    <row r="346" spans="1:19" x14ac:dyDescent="0.25">
      <c r="A346" s="196"/>
      <c r="B346" s="174"/>
      <c r="C346" s="200"/>
      <c r="D346" s="179"/>
      <c r="E346" s="179"/>
      <c r="F346" s="185"/>
      <c r="G346" s="186"/>
      <c r="H346" s="182"/>
      <c r="I346" s="193">
        <f t="shared" si="28"/>
        <v>0</v>
      </c>
      <c r="J346" s="192">
        <f t="shared" si="29"/>
        <v>0</v>
      </c>
      <c r="K346" s="173"/>
      <c r="L346" s="191">
        <f t="shared" si="27"/>
        <v>0</v>
      </c>
      <c r="M346" s="190">
        <f t="shared" si="30"/>
        <v>0</v>
      </c>
      <c r="N346" s="176"/>
      <c r="O346" s="176"/>
      <c r="P346" s="201"/>
      <c r="Q346" s="201"/>
      <c r="R346" s="309"/>
      <c r="S346" s="309"/>
    </row>
    <row r="347" spans="1:19" x14ac:dyDescent="0.25">
      <c r="A347" s="196"/>
      <c r="B347" s="174"/>
      <c r="C347" s="200"/>
      <c r="D347" s="179"/>
      <c r="E347" s="179"/>
      <c r="F347" s="185"/>
      <c r="G347" s="186"/>
      <c r="H347" s="182"/>
      <c r="I347" s="193">
        <f t="shared" si="28"/>
        <v>0</v>
      </c>
      <c r="J347" s="192">
        <f t="shared" si="29"/>
        <v>0</v>
      </c>
      <c r="K347" s="173"/>
      <c r="L347" s="191">
        <f t="shared" si="27"/>
        <v>0</v>
      </c>
      <c r="M347" s="190">
        <f t="shared" si="30"/>
        <v>0</v>
      </c>
      <c r="N347" s="176"/>
      <c r="O347" s="176"/>
      <c r="P347" s="201"/>
      <c r="Q347" s="201"/>
      <c r="R347" s="309"/>
      <c r="S347" s="309"/>
    </row>
    <row r="348" spans="1:19" x14ac:dyDescent="0.25">
      <c r="A348" s="196"/>
      <c r="B348" s="174"/>
      <c r="C348" s="200"/>
      <c r="D348" s="179"/>
      <c r="E348" s="179"/>
      <c r="F348" s="185"/>
      <c r="G348" s="186"/>
      <c r="H348" s="182"/>
      <c r="I348" s="193">
        <f t="shared" si="28"/>
        <v>0</v>
      </c>
      <c r="J348" s="192">
        <f t="shared" si="29"/>
        <v>0</v>
      </c>
      <c r="K348" s="173"/>
      <c r="L348" s="191">
        <f t="shared" si="27"/>
        <v>0</v>
      </c>
      <c r="M348" s="190">
        <f t="shared" si="30"/>
        <v>0</v>
      </c>
      <c r="N348" s="176"/>
      <c r="O348" s="176"/>
      <c r="P348" s="201"/>
      <c r="Q348" s="201"/>
      <c r="R348" s="309"/>
      <c r="S348" s="309"/>
    </row>
    <row r="349" spans="1:19" x14ac:dyDescent="0.25">
      <c r="A349" s="196"/>
      <c r="B349" s="174"/>
      <c r="C349" s="200"/>
      <c r="D349" s="179"/>
      <c r="E349" s="179"/>
      <c r="F349" s="185"/>
      <c r="G349" s="186"/>
      <c r="H349" s="182"/>
      <c r="I349" s="193">
        <f t="shared" si="28"/>
        <v>0</v>
      </c>
      <c r="J349" s="192">
        <f t="shared" si="29"/>
        <v>0</v>
      </c>
      <c r="K349" s="173"/>
      <c r="L349" s="191">
        <f t="shared" si="27"/>
        <v>0</v>
      </c>
      <c r="M349" s="190">
        <f t="shared" si="30"/>
        <v>0</v>
      </c>
      <c r="N349" s="176"/>
      <c r="O349" s="176"/>
      <c r="P349" s="201"/>
      <c r="Q349" s="201"/>
      <c r="R349" s="309"/>
      <c r="S349" s="309"/>
    </row>
    <row r="350" spans="1:19" x14ac:dyDescent="0.25">
      <c r="A350" s="196"/>
      <c r="B350" s="174"/>
      <c r="C350" s="200"/>
      <c r="D350" s="179"/>
      <c r="E350" s="179"/>
      <c r="F350" s="185"/>
      <c r="G350" s="186"/>
      <c r="H350" s="182"/>
      <c r="I350" s="193">
        <f t="shared" si="28"/>
        <v>0</v>
      </c>
      <c r="J350" s="192">
        <f t="shared" si="29"/>
        <v>0</v>
      </c>
      <c r="K350" s="173"/>
      <c r="L350" s="191">
        <f t="shared" si="27"/>
        <v>0</v>
      </c>
      <c r="M350" s="190">
        <f t="shared" si="30"/>
        <v>0</v>
      </c>
      <c r="N350" s="176"/>
      <c r="O350" s="176"/>
      <c r="P350" s="201"/>
      <c r="Q350" s="201"/>
      <c r="R350" s="309"/>
      <c r="S350" s="309"/>
    </row>
    <row r="351" spans="1:19" x14ac:dyDescent="0.25">
      <c r="A351" s="196"/>
      <c r="B351" s="174"/>
      <c r="C351" s="200"/>
      <c r="D351" s="179"/>
      <c r="E351" s="179"/>
      <c r="F351" s="185"/>
      <c r="G351" s="186"/>
      <c r="H351" s="182"/>
      <c r="I351" s="193">
        <f t="shared" si="28"/>
        <v>0</v>
      </c>
      <c r="J351" s="192">
        <f t="shared" si="29"/>
        <v>0</v>
      </c>
      <c r="K351" s="173"/>
      <c r="L351" s="191">
        <f t="shared" si="27"/>
        <v>0</v>
      </c>
      <c r="M351" s="190">
        <f t="shared" si="30"/>
        <v>0</v>
      </c>
      <c r="N351" s="176"/>
      <c r="O351" s="176"/>
      <c r="P351" s="201"/>
      <c r="Q351" s="201"/>
      <c r="R351" s="309"/>
      <c r="S351" s="309"/>
    </row>
    <row r="352" spans="1:19" x14ac:dyDescent="0.25">
      <c r="A352" s="196"/>
      <c r="B352" s="174"/>
      <c r="C352" s="200"/>
      <c r="D352" s="179"/>
      <c r="E352" s="179"/>
      <c r="F352" s="185"/>
      <c r="G352" s="186"/>
      <c r="H352" s="182"/>
      <c r="I352" s="193">
        <f t="shared" si="28"/>
        <v>0</v>
      </c>
      <c r="J352" s="192">
        <f t="shared" si="29"/>
        <v>0</v>
      </c>
      <c r="K352" s="173"/>
      <c r="L352" s="191">
        <f t="shared" si="27"/>
        <v>0</v>
      </c>
      <c r="M352" s="190">
        <f t="shared" si="30"/>
        <v>0</v>
      </c>
      <c r="N352" s="176"/>
      <c r="O352" s="176"/>
      <c r="P352" s="201"/>
      <c r="Q352" s="201"/>
      <c r="R352" s="309"/>
      <c r="S352" s="309"/>
    </row>
    <row r="353" spans="1:19" x14ac:dyDescent="0.25">
      <c r="A353" s="196"/>
      <c r="B353" s="174"/>
      <c r="C353" s="200"/>
      <c r="D353" s="179"/>
      <c r="E353" s="179"/>
      <c r="F353" s="185"/>
      <c r="G353" s="186"/>
      <c r="H353" s="182"/>
      <c r="I353" s="193">
        <f t="shared" si="28"/>
        <v>0</v>
      </c>
      <c r="J353" s="192">
        <f t="shared" si="29"/>
        <v>0</v>
      </c>
      <c r="K353" s="173"/>
      <c r="L353" s="191">
        <f t="shared" si="27"/>
        <v>0</v>
      </c>
      <c r="M353" s="190">
        <f t="shared" si="30"/>
        <v>0</v>
      </c>
      <c r="N353" s="176"/>
      <c r="O353" s="176"/>
      <c r="P353" s="201"/>
      <c r="Q353" s="201"/>
      <c r="R353" s="309"/>
      <c r="S353" s="309"/>
    </row>
    <row r="354" spans="1:19" x14ac:dyDescent="0.25">
      <c r="A354" s="196"/>
      <c r="B354" s="174"/>
      <c r="C354" s="200"/>
      <c r="D354" s="179"/>
      <c r="E354" s="179"/>
      <c r="F354" s="185"/>
      <c r="G354" s="186"/>
      <c r="H354" s="182"/>
      <c r="I354" s="193">
        <f t="shared" si="28"/>
        <v>0</v>
      </c>
      <c r="J354" s="192">
        <f t="shared" si="29"/>
        <v>0</v>
      </c>
      <c r="K354" s="173"/>
      <c r="L354" s="191">
        <f t="shared" si="27"/>
        <v>0</v>
      </c>
      <c r="M354" s="190">
        <f t="shared" si="30"/>
        <v>0</v>
      </c>
      <c r="N354" s="176"/>
      <c r="O354" s="176"/>
      <c r="P354" s="201"/>
      <c r="Q354" s="201"/>
      <c r="R354" s="309"/>
      <c r="S354" s="309"/>
    </row>
    <row r="355" spans="1:19" x14ac:dyDescent="0.25">
      <c r="A355" s="196"/>
      <c r="B355" s="174"/>
      <c r="C355" s="200"/>
      <c r="D355" s="179"/>
      <c r="E355" s="179"/>
      <c r="F355" s="185"/>
      <c r="G355" s="186"/>
      <c r="H355" s="182"/>
      <c r="I355" s="193">
        <f t="shared" si="28"/>
        <v>0</v>
      </c>
      <c r="J355" s="192">
        <f t="shared" si="29"/>
        <v>0</v>
      </c>
      <c r="K355" s="173"/>
      <c r="L355" s="191">
        <f t="shared" si="27"/>
        <v>0</v>
      </c>
      <c r="M355" s="190">
        <f t="shared" si="30"/>
        <v>0</v>
      </c>
      <c r="N355" s="176"/>
      <c r="O355" s="176"/>
      <c r="P355" s="201"/>
      <c r="Q355" s="201"/>
      <c r="R355" s="309"/>
      <c r="S355" s="309"/>
    </row>
    <row r="356" spans="1:19" x14ac:dyDescent="0.25">
      <c r="A356" s="196"/>
      <c r="B356" s="174"/>
      <c r="C356" s="200"/>
      <c r="D356" s="179"/>
      <c r="E356" s="179"/>
      <c r="F356" s="185"/>
      <c r="G356" s="186"/>
      <c r="H356" s="182"/>
      <c r="I356" s="193">
        <f t="shared" si="28"/>
        <v>0</v>
      </c>
      <c r="J356" s="192">
        <f t="shared" si="29"/>
        <v>0</v>
      </c>
      <c r="K356" s="173"/>
      <c r="L356" s="191">
        <f t="shared" si="27"/>
        <v>0</v>
      </c>
      <c r="M356" s="190">
        <f t="shared" si="30"/>
        <v>0</v>
      </c>
      <c r="N356" s="176"/>
      <c r="O356" s="176"/>
      <c r="P356" s="201"/>
      <c r="Q356" s="201"/>
      <c r="R356" s="309"/>
      <c r="S356" s="309"/>
    </row>
    <row r="357" spans="1:19" x14ac:dyDescent="0.25">
      <c r="A357" s="196"/>
      <c r="B357" s="174"/>
      <c r="C357" s="200"/>
      <c r="D357" s="179"/>
      <c r="E357" s="179"/>
      <c r="F357" s="185"/>
      <c r="G357" s="186"/>
      <c r="H357" s="182"/>
      <c r="I357" s="193">
        <f t="shared" si="28"/>
        <v>0</v>
      </c>
      <c r="J357" s="192">
        <f t="shared" si="29"/>
        <v>0</v>
      </c>
      <c r="K357" s="173"/>
      <c r="L357" s="191">
        <f t="shared" si="27"/>
        <v>0</v>
      </c>
      <c r="M357" s="190">
        <f t="shared" si="30"/>
        <v>0</v>
      </c>
      <c r="N357" s="176"/>
      <c r="O357" s="176"/>
      <c r="P357" s="201"/>
      <c r="Q357" s="201"/>
      <c r="R357" s="309"/>
      <c r="S357" s="309"/>
    </row>
    <row r="358" spans="1:19" x14ac:dyDescent="0.25">
      <c r="A358" s="196"/>
      <c r="B358" s="174"/>
      <c r="C358" s="200"/>
      <c r="D358" s="179"/>
      <c r="E358" s="179"/>
      <c r="F358" s="185"/>
      <c r="G358" s="186"/>
      <c r="H358" s="182"/>
      <c r="I358" s="193">
        <f t="shared" si="28"/>
        <v>0</v>
      </c>
      <c r="J358" s="192">
        <f t="shared" si="29"/>
        <v>0</v>
      </c>
      <c r="K358" s="173"/>
      <c r="L358" s="191">
        <f t="shared" si="27"/>
        <v>0</v>
      </c>
      <c r="M358" s="190">
        <f t="shared" si="30"/>
        <v>0</v>
      </c>
      <c r="N358" s="176"/>
      <c r="O358" s="176"/>
      <c r="P358" s="201"/>
      <c r="Q358" s="201"/>
      <c r="R358" s="309"/>
      <c r="S358" s="309"/>
    </row>
    <row r="359" spans="1:19" x14ac:dyDescent="0.25">
      <c r="A359" s="196"/>
      <c r="B359" s="174"/>
      <c r="C359" s="200"/>
      <c r="D359" s="179"/>
      <c r="E359" s="179"/>
      <c r="F359" s="185"/>
      <c r="G359" s="186"/>
      <c r="H359" s="182"/>
      <c r="I359" s="193">
        <f t="shared" si="28"/>
        <v>0</v>
      </c>
      <c r="J359" s="192">
        <f t="shared" si="29"/>
        <v>0</v>
      </c>
      <c r="K359" s="173"/>
      <c r="L359" s="191">
        <f t="shared" si="27"/>
        <v>0</v>
      </c>
      <c r="M359" s="190">
        <f t="shared" si="30"/>
        <v>0</v>
      </c>
      <c r="N359" s="176"/>
      <c r="O359" s="176"/>
      <c r="P359" s="201"/>
      <c r="Q359" s="201"/>
      <c r="R359" s="309"/>
      <c r="S359" s="309"/>
    </row>
    <row r="360" spans="1:19" x14ac:dyDescent="0.25">
      <c r="A360" s="196"/>
      <c r="B360" s="174"/>
      <c r="C360" s="200"/>
      <c r="D360" s="179"/>
      <c r="E360" s="179"/>
      <c r="F360" s="185"/>
      <c r="G360" s="186"/>
      <c r="H360" s="182"/>
      <c r="I360" s="193">
        <f t="shared" si="28"/>
        <v>0</v>
      </c>
      <c r="J360" s="192">
        <f t="shared" si="29"/>
        <v>0</v>
      </c>
      <c r="K360" s="173"/>
      <c r="L360" s="191">
        <f t="shared" si="27"/>
        <v>0</v>
      </c>
      <c r="M360" s="190">
        <f t="shared" si="30"/>
        <v>0</v>
      </c>
      <c r="N360" s="176"/>
      <c r="O360" s="176"/>
      <c r="P360" s="201"/>
      <c r="Q360" s="201"/>
      <c r="R360" s="309"/>
      <c r="S360" s="309"/>
    </row>
    <row r="361" spans="1:19" x14ac:dyDescent="0.25">
      <c r="A361" s="196"/>
      <c r="B361" s="174"/>
      <c r="C361" s="200"/>
      <c r="D361" s="179"/>
      <c r="E361" s="179"/>
      <c r="F361" s="185"/>
      <c r="G361" s="186"/>
      <c r="H361" s="182"/>
      <c r="I361" s="193">
        <f t="shared" si="28"/>
        <v>0</v>
      </c>
      <c r="J361" s="192">
        <f t="shared" si="29"/>
        <v>0</v>
      </c>
      <c r="K361" s="173"/>
      <c r="L361" s="191">
        <f t="shared" si="27"/>
        <v>0</v>
      </c>
      <c r="M361" s="190">
        <f t="shared" si="30"/>
        <v>0</v>
      </c>
      <c r="N361" s="176"/>
      <c r="O361" s="176"/>
      <c r="P361" s="201"/>
      <c r="Q361" s="201"/>
      <c r="R361" s="309"/>
      <c r="S361" s="309"/>
    </row>
    <row r="362" spans="1:19" x14ac:dyDescent="0.25">
      <c r="A362" s="196"/>
      <c r="B362" s="174"/>
      <c r="C362" s="200"/>
      <c r="D362" s="179"/>
      <c r="E362" s="179"/>
      <c r="F362" s="185"/>
      <c r="G362" s="186"/>
      <c r="H362" s="182"/>
      <c r="I362" s="193">
        <f t="shared" si="28"/>
        <v>0</v>
      </c>
      <c r="J362" s="192">
        <f t="shared" si="29"/>
        <v>0</v>
      </c>
      <c r="K362" s="173"/>
      <c r="L362" s="191">
        <f t="shared" si="27"/>
        <v>0</v>
      </c>
      <c r="M362" s="190">
        <f t="shared" si="30"/>
        <v>0</v>
      </c>
      <c r="N362" s="176"/>
      <c r="O362" s="176"/>
      <c r="P362" s="201"/>
      <c r="Q362" s="201"/>
      <c r="R362" s="309"/>
      <c r="S362" s="309"/>
    </row>
    <row r="363" spans="1:19" x14ac:dyDescent="0.25">
      <c r="A363" s="196"/>
      <c r="B363" s="174"/>
      <c r="C363" s="200"/>
      <c r="D363" s="179"/>
      <c r="E363" s="179"/>
      <c r="F363" s="185"/>
      <c r="G363" s="186"/>
      <c r="H363" s="182"/>
      <c r="I363" s="193">
        <f t="shared" si="28"/>
        <v>0</v>
      </c>
      <c r="J363" s="192">
        <f t="shared" si="29"/>
        <v>0</v>
      </c>
      <c r="K363" s="173"/>
      <c r="L363" s="191">
        <f t="shared" si="27"/>
        <v>0</v>
      </c>
      <c r="M363" s="190">
        <f t="shared" si="30"/>
        <v>0</v>
      </c>
      <c r="N363" s="176"/>
      <c r="O363" s="176"/>
      <c r="P363" s="201"/>
      <c r="Q363" s="201"/>
      <c r="R363" s="309"/>
      <c r="S363" s="309"/>
    </row>
    <row r="364" spans="1:19" x14ac:dyDescent="0.25">
      <c r="A364" s="196"/>
      <c r="B364" s="174"/>
      <c r="C364" s="200"/>
      <c r="D364" s="179"/>
      <c r="E364" s="179"/>
      <c r="F364" s="185"/>
      <c r="G364" s="186"/>
      <c r="H364" s="182"/>
      <c r="I364" s="193">
        <f t="shared" si="28"/>
        <v>0</v>
      </c>
      <c r="J364" s="192">
        <f t="shared" si="29"/>
        <v>0</v>
      </c>
      <c r="K364" s="173"/>
      <c r="L364" s="191">
        <f t="shared" si="27"/>
        <v>0</v>
      </c>
      <c r="M364" s="190">
        <f t="shared" si="30"/>
        <v>0</v>
      </c>
      <c r="N364" s="176"/>
      <c r="O364" s="176"/>
      <c r="P364" s="201"/>
      <c r="Q364" s="201"/>
      <c r="R364" s="309"/>
      <c r="S364" s="309"/>
    </row>
    <row r="365" spans="1:19" x14ac:dyDescent="0.25">
      <c r="A365" s="196"/>
      <c r="B365" s="174"/>
      <c r="C365" s="200"/>
      <c r="D365" s="179"/>
      <c r="E365" s="179"/>
      <c r="F365" s="185"/>
      <c r="G365" s="186"/>
      <c r="H365" s="182"/>
      <c r="I365" s="193">
        <f t="shared" si="28"/>
        <v>0</v>
      </c>
      <c r="J365" s="192">
        <f t="shared" si="29"/>
        <v>0</v>
      </c>
      <c r="K365" s="173"/>
      <c r="L365" s="191">
        <f t="shared" si="27"/>
        <v>0</v>
      </c>
      <c r="M365" s="190">
        <f t="shared" si="30"/>
        <v>0</v>
      </c>
      <c r="N365" s="176"/>
      <c r="O365" s="176"/>
      <c r="P365" s="201"/>
      <c r="Q365" s="201"/>
      <c r="R365" s="309"/>
      <c r="S365" s="309"/>
    </row>
    <row r="366" spans="1:19" x14ac:dyDescent="0.25">
      <c r="A366" s="196"/>
      <c r="B366" s="174"/>
      <c r="C366" s="200"/>
      <c r="D366" s="179"/>
      <c r="E366" s="179"/>
      <c r="F366" s="185"/>
      <c r="G366" s="186"/>
      <c r="H366" s="182"/>
      <c r="I366" s="193">
        <f t="shared" si="28"/>
        <v>0</v>
      </c>
      <c r="J366" s="192">
        <f t="shared" si="29"/>
        <v>0</v>
      </c>
      <c r="K366" s="173"/>
      <c r="L366" s="191">
        <f t="shared" si="27"/>
        <v>0</v>
      </c>
      <c r="M366" s="190">
        <f t="shared" si="30"/>
        <v>0</v>
      </c>
      <c r="N366" s="176"/>
      <c r="O366" s="176"/>
      <c r="P366" s="201"/>
      <c r="Q366" s="201"/>
      <c r="R366" s="309"/>
      <c r="S366" s="309"/>
    </row>
    <row r="367" spans="1:19" x14ac:dyDescent="0.25">
      <c r="A367" s="196"/>
      <c r="B367" s="174"/>
      <c r="C367" s="200"/>
      <c r="D367" s="179"/>
      <c r="E367" s="179"/>
      <c r="F367" s="185"/>
      <c r="G367" s="186"/>
      <c r="H367" s="182"/>
      <c r="I367" s="193">
        <f t="shared" si="28"/>
        <v>0</v>
      </c>
      <c r="J367" s="192">
        <f t="shared" si="29"/>
        <v>0</v>
      </c>
      <c r="K367" s="173"/>
      <c r="L367" s="191">
        <f t="shared" si="27"/>
        <v>0</v>
      </c>
      <c r="M367" s="190">
        <f t="shared" si="30"/>
        <v>0</v>
      </c>
      <c r="N367" s="176"/>
      <c r="O367" s="176"/>
      <c r="P367" s="201"/>
      <c r="Q367" s="201"/>
      <c r="R367" s="309"/>
      <c r="S367" s="309"/>
    </row>
    <row r="368" spans="1:19" x14ac:dyDescent="0.25">
      <c r="A368" s="196"/>
      <c r="B368" s="174"/>
      <c r="C368" s="200"/>
      <c r="D368" s="179"/>
      <c r="E368" s="179"/>
      <c r="F368" s="185"/>
      <c r="G368" s="186"/>
      <c r="H368" s="182"/>
      <c r="I368" s="193">
        <f t="shared" si="28"/>
        <v>0</v>
      </c>
      <c r="J368" s="192">
        <f t="shared" si="29"/>
        <v>0</v>
      </c>
      <c r="K368" s="173"/>
      <c r="L368" s="191">
        <f t="shared" si="27"/>
        <v>0</v>
      </c>
      <c r="M368" s="190">
        <f t="shared" si="30"/>
        <v>0</v>
      </c>
      <c r="N368" s="176"/>
      <c r="O368" s="176"/>
      <c r="P368" s="201"/>
      <c r="Q368" s="201"/>
      <c r="R368" s="309"/>
      <c r="S368" s="309"/>
    </row>
    <row r="369" spans="1:19" x14ac:dyDescent="0.25">
      <c r="A369" s="196"/>
      <c r="B369" s="174"/>
      <c r="C369" s="200"/>
      <c r="D369" s="179"/>
      <c r="E369" s="179"/>
      <c r="F369" s="185"/>
      <c r="G369" s="186"/>
      <c r="H369" s="182"/>
      <c r="I369" s="193">
        <f t="shared" si="28"/>
        <v>0</v>
      </c>
      <c r="J369" s="192">
        <f t="shared" si="29"/>
        <v>0</v>
      </c>
      <c r="K369" s="173"/>
      <c r="L369" s="191">
        <f t="shared" si="27"/>
        <v>0</v>
      </c>
      <c r="M369" s="190">
        <f t="shared" si="30"/>
        <v>0</v>
      </c>
      <c r="N369" s="176"/>
      <c r="O369" s="176"/>
      <c r="P369" s="201"/>
      <c r="Q369" s="201"/>
      <c r="R369" s="309"/>
      <c r="S369" s="309"/>
    </row>
    <row r="370" spans="1:19" x14ac:dyDescent="0.25">
      <c r="A370" s="196"/>
      <c r="B370" s="174"/>
      <c r="C370" s="200"/>
      <c r="D370" s="179"/>
      <c r="E370" s="179"/>
      <c r="F370" s="185"/>
      <c r="G370" s="186"/>
      <c r="H370" s="182"/>
      <c r="I370" s="193">
        <f t="shared" si="28"/>
        <v>0</v>
      </c>
      <c r="J370" s="192">
        <f t="shared" si="29"/>
        <v>0</v>
      </c>
      <c r="K370" s="173"/>
      <c r="L370" s="191">
        <f t="shared" si="27"/>
        <v>0</v>
      </c>
      <c r="M370" s="190">
        <f t="shared" si="30"/>
        <v>0</v>
      </c>
      <c r="N370" s="176"/>
      <c r="O370" s="176"/>
      <c r="P370" s="201"/>
      <c r="Q370" s="201"/>
      <c r="R370" s="309"/>
      <c r="S370" s="309"/>
    </row>
    <row r="371" spans="1:19" x14ac:dyDescent="0.25">
      <c r="A371" s="196"/>
      <c r="B371" s="174"/>
      <c r="C371" s="200"/>
      <c r="D371" s="179"/>
      <c r="E371" s="179"/>
      <c r="F371" s="185"/>
      <c r="G371" s="186"/>
      <c r="H371" s="182"/>
      <c r="I371" s="193">
        <f t="shared" si="28"/>
        <v>0</v>
      </c>
      <c r="J371" s="192">
        <f t="shared" si="29"/>
        <v>0</v>
      </c>
      <c r="K371" s="173"/>
      <c r="L371" s="191">
        <f t="shared" si="27"/>
        <v>0</v>
      </c>
      <c r="M371" s="190">
        <f t="shared" si="30"/>
        <v>0</v>
      </c>
      <c r="N371" s="176"/>
      <c r="O371" s="176"/>
      <c r="P371" s="201"/>
      <c r="Q371" s="201"/>
      <c r="R371" s="309"/>
      <c r="S371" s="309"/>
    </row>
    <row r="372" spans="1:19" x14ac:dyDescent="0.25">
      <c r="A372" s="196"/>
      <c r="B372" s="174"/>
      <c r="C372" s="200"/>
      <c r="D372" s="179"/>
      <c r="E372" s="179"/>
      <c r="F372" s="185"/>
      <c r="G372" s="186"/>
      <c r="H372" s="182"/>
      <c r="I372" s="193">
        <f t="shared" si="28"/>
        <v>0</v>
      </c>
      <c r="J372" s="192">
        <f t="shared" si="29"/>
        <v>0</v>
      </c>
      <c r="K372" s="173"/>
      <c r="L372" s="191">
        <f t="shared" si="27"/>
        <v>0</v>
      </c>
      <c r="M372" s="190">
        <f t="shared" si="30"/>
        <v>0</v>
      </c>
      <c r="N372" s="176"/>
      <c r="O372" s="176"/>
      <c r="P372" s="201"/>
      <c r="Q372" s="201"/>
      <c r="R372" s="309"/>
      <c r="S372" s="309"/>
    </row>
    <row r="373" spans="1:19" x14ac:dyDescent="0.25">
      <c r="A373" s="196"/>
      <c r="B373" s="174"/>
      <c r="C373" s="200"/>
      <c r="D373" s="179"/>
      <c r="E373" s="179"/>
      <c r="F373" s="185"/>
      <c r="G373" s="186"/>
      <c r="H373" s="182"/>
      <c r="I373" s="193">
        <f t="shared" si="28"/>
        <v>0</v>
      </c>
      <c r="J373" s="192">
        <f t="shared" si="29"/>
        <v>0</v>
      </c>
      <c r="K373" s="173"/>
      <c r="L373" s="191">
        <f t="shared" si="27"/>
        <v>0</v>
      </c>
      <c r="M373" s="190">
        <f t="shared" si="30"/>
        <v>0</v>
      </c>
      <c r="N373" s="176"/>
      <c r="O373" s="176"/>
      <c r="P373" s="201"/>
      <c r="Q373" s="201"/>
      <c r="R373" s="309"/>
      <c r="S373" s="309"/>
    </row>
    <row r="374" spans="1:19" x14ac:dyDescent="0.25">
      <c r="A374" s="196"/>
      <c r="B374" s="174"/>
      <c r="C374" s="200"/>
      <c r="D374" s="179"/>
      <c r="E374" s="179"/>
      <c r="F374" s="185"/>
      <c r="G374" s="186"/>
      <c r="H374" s="182"/>
      <c r="I374" s="193">
        <f t="shared" si="28"/>
        <v>0</v>
      </c>
      <c r="J374" s="192">
        <f t="shared" si="29"/>
        <v>0</v>
      </c>
      <c r="K374" s="173"/>
      <c r="L374" s="191">
        <f t="shared" si="27"/>
        <v>0</v>
      </c>
      <c r="M374" s="190">
        <f t="shared" si="30"/>
        <v>0</v>
      </c>
      <c r="N374" s="176"/>
      <c r="O374" s="176"/>
      <c r="P374" s="201"/>
      <c r="Q374" s="201"/>
      <c r="R374" s="309"/>
      <c r="S374" s="309"/>
    </row>
    <row r="375" spans="1:19" x14ac:dyDescent="0.25">
      <c r="A375" s="196"/>
      <c r="B375" s="174"/>
      <c r="C375" s="200"/>
      <c r="D375" s="179"/>
      <c r="E375" s="179"/>
      <c r="F375" s="185"/>
      <c r="G375" s="186"/>
      <c r="H375" s="182"/>
      <c r="I375" s="193">
        <f t="shared" si="28"/>
        <v>0</v>
      </c>
      <c r="J375" s="192">
        <f t="shared" si="29"/>
        <v>0</v>
      </c>
      <c r="K375" s="173"/>
      <c r="L375" s="191">
        <f t="shared" si="27"/>
        <v>0</v>
      </c>
      <c r="M375" s="190">
        <f t="shared" si="30"/>
        <v>0</v>
      </c>
      <c r="N375" s="176"/>
      <c r="O375" s="176"/>
      <c r="P375" s="201"/>
      <c r="Q375" s="201"/>
      <c r="R375" s="309"/>
      <c r="S375" s="309"/>
    </row>
    <row r="376" spans="1:19" x14ac:dyDescent="0.25">
      <c r="A376" s="196"/>
      <c r="B376" s="174"/>
      <c r="C376" s="200"/>
      <c r="D376" s="179"/>
      <c r="E376" s="179"/>
      <c r="F376" s="185"/>
      <c r="G376" s="186"/>
      <c r="H376" s="182"/>
      <c r="I376" s="193">
        <f t="shared" si="28"/>
        <v>0</v>
      </c>
      <c r="J376" s="192">
        <f t="shared" si="29"/>
        <v>0</v>
      </c>
      <c r="K376" s="173"/>
      <c r="L376" s="191">
        <f t="shared" si="27"/>
        <v>0</v>
      </c>
      <c r="M376" s="190">
        <f t="shared" si="30"/>
        <v>0</v>
      </c>
      <c r="N376" s="176"/>
      <c r="O376" s="176"/>
      <c r="P376" s="201"/>
      <c r="Q376" s="201"/>
      <c r="R376" s="309"/>
      <c r="S376" s="309"/>
    </row>
    <row r="377" spans="1:19" x14ac:dyDescent="0.25">
      <c r="A377" s="196"/>
      <c r="B377" s="174"/>
      <c r="C377" s="200"/>
      <c r="D377" s="179"/>
      <c r="E377" s="179"/>
      <c r="F377" s="185"/>
      <c r="G377" s="186"/>
      <c r="H377" s="182"/>
      <c r="I377" s="193">
        <f t="shared" si="28"/>
        <v>0</v>
      </c>
      <c r="J377" s="192">
        <f t="shared" si="29"/>
        <v>0</v>
      </c>
      <c r="K377" s="173"/>
      <c r="L377" s="191">
        <f t="shared" si="27"/>
        <v>0</v>
      </c>
      <c r="M377" s="190">
        <f t="shared" si="30"/>
        <v>0</v>
      </c>
      <c r="N377" s="176"/>
      <c r="O377" s="176"/>
      <c r="P377" s="201"/>
      <c r="Q377" s="201"/>
      <c r="R377" s="309"/>
      <c r="S377" s="309"/>
    </row>
    <row r="378" spans="1:19" x14ac:dyDescent="0.25">
      <c r="A378" s="196"/>
      <c r="B378" s="174"/>
      <c r="C378" s="200"/>
      <c r="D378" s="179"/>
      <c r="E378" s="179"/>
      <c r="F378" s="185"/>
      <c r="G378" s="186"/>
      <c r="H378" s="182"/>
      <c r="I378" s="193">
        <f t="shared" si="28"/>
        <v>0</v>
      </c>
      <c r="J378" s="192">
        <f t="shared" si="29"/>
        <v>0</v>
      </c>
      <c r="K378" s="173"/>
      <c r="L378" s="191">
        <f t="shared" si="27"/>
        <v>0</v>
      </c>
      <c r="M378" s="190">
        <f t="shared" si="30"/>
        <v>0</v>
      </c>
      <c r="N378" s="176"/>
      <c r="O378" s="176"/>
      <c r="P378" s="201"/>
      <c r="Q378" s="201"/>
      <c r="R378" s="309"/>
      <c r="S378" s="309"/>
    </row>
    <row r="379" spans="1:19" x14ac:dyDescent="0.25">
      <c r="A379" s="196"/>
      <c r="B379" s="174"/>
      <c r="C379" s="200"/>
      <c r="D379" s="179"/>
      <c r="E379" s="179"/>
      <c r="F379" s="185"/>
      <c r="G379" s="186"/>
      <c r="H379" s="182"/>
      <c r="I379" s="193">
        <f t="shared" si="28"/>
        <v>0</v>
      </c>
      <c r="J379" s="192">
        <f t="shared" si="29"/>
        <v>0</v>
      </c>
      <c r="K379" s="173"/>
      <c r="L379" s="191">
        <f t="shared" si="27"/>
        <v>0</v>
      </c>
      <c r="M379" s="190">
        <f t="shared" si="30"/>
        <v>0</v>
      </c>
      <c r="N379" s="176"/>
      <c r="O379" s="176"/>
      <c r="P379" s="201"/>
      <c r="Q379" s="201"/>
      <c r="R379" s="309"/>
      <c r="S379" s="309"/>
    </row>
    <row r="380" spans="1:19" x14ac:dyDescent="0.25">
      <c r="A380" s="196"/>
      <c r="B380" s="174"/>
      <c r="C380" s="200"/>
      <c r="D380" s="179"/>
      <c r="E380" s="179"/>
      <c r="F380" s="185"/>
      <c r="G380" s="186"/>
      <c r="H380" s="182"/>
      <c r="I380" s="193">
        <f t="shared" si="28"/>
        <v>0</v>
      </c>
      <c r="J380" s="192">
        <f t="shared" si="29"/>
        <v>0</v>
      </c>
      <c r="K380" s="173"/>
      <c r="L380" s="191">
        <f t="shared" si="27"/>
        <v>0</v>
      </c>
      <c r="M380" s="190">
        <f t="shared" si="30"/>
        <v>0</v>
      </c>
      <c r="N380" s="176"/>
      <c r="O380" s="176"/>
      <c r="P380" s="201"/>
      <c r="Q380" s="201"/>
      <c r="R380" s="309"/>
      <c r="S380" s="309"/>
    </row>
    <row r="381" spans="1:19" x14ac:dyDescent="0.25">
      <c r="A381" s="196"/>
      <c r="B381" s="174"/>
      <c r="C381" s="200"/>
      <c r="D381" s="179"/>
      <c r="E381" s="179"/>
      <c r="F381" s="185"/>
      <c r="G381" s="186"/>
      <c r="H381" s="182"/>
      <c r="I381" s="193">
        <f t="shared" si="28"/>
        <v>0</v>
      </c>
      <c r="J381" s="192">
        <f t="shared" si="29"/>
        <v>0</v>
      </c>
      <c r="K381" s="173"/>
      <c r="L381" s="191">
        <f t="shared" si="27"/>
        <v>0</v>
      </c>
      <c r="M381" s="190">
        <f t="shared" si="30"/>
        <v>0</v>
      </c>
      <c r="N381" s="176"/>
      <c r="O381" s="176"/>
      <c r="P381" s="201"/>
      <c r="Q381" s="201"/>
      <c r="R381" s="309"/>
      <c r="S381" s="309"/>
    </row>
    <row r="382" spans="1:19" x14ac:dyDescent="0.25">
      <c r="A382" s="196"/>
      <c r="B382" s="174"/>
      <c r="C382" s="200"/>
      <c r="D382" s="179"/>
      <c r="E382" s="179"/>
      <c r="F382" s="185"/>
      <c r="G382" s="186"/>
      <c r="H382" s="182"/>
      <c r="I382" s="193">
        <f t="shared" si="28"/>
        <v>0</v>
      </c>
      <c r="J382" s="192">
        <f t="shared" si="29"/>
        <v>0</v>
      </c>
      <c r="K382" s="173"/>
      <c r="L382" s="191">
        <f t="shared" si="27"/>
        <v>0</v>
      </c>
      <c r="M382" s="190">
        <f t="shared" si="30"/>
        <v>0</v>
      </c>
      <c r="N382" s="176"/>
      <c r="O382" s="176"/>
      <c r="P382" s="201"/>
      <c r="Q382" s="201"/>
      <c r="R382" s="309"/>
      <c r="S382" s="309"/>
    </row>
    <row r="383" spans="1:19" x14ac:dyDescent="0.25">
      <c r="A383" s="196"/>
      <c r="B383" s="174"/>
      <c r="C383" s="200"/>
      <c r="D383" s="179"/>
      <c r="E383" s="179"/>
      <c r="F383" s="185"/>
      <c r="G383" s="186"/>
      <c r="H383" s="182"/>
      <c r="I383" s="193">
        <f t="shared" si="28"/>
        <v>0</v>
      </c>
      <c r="J383" s="192">
        <f t="shared" si="29"/>
        <v>0</v>
      </c>
      <c r="K383" s="173"/>
      <c r="L383" s="191">
        <f t="shared" si="27"/>
        <v>0</v>
      </c>
      <c r="M383" s="190">
        <f t="shared" si="30"/>
        <v>0</v>
      </c>
      <c r="N383" s="176"/>
      <c r="O383" s="176"/>
      <c r="P383" s="201"/>
      <c r="Q383" s="201"/>
      <c r="R383" s="309"/>
      <c r="S383" s="309"/>
    </row>
    <row r="384" spans="1:19" x14ac:dyDescent="0.25">
      <c r="A384" s="196"/>
      <c r="B384" s="174"/>
      <c r="C384" s="200"/>
      <c r="D384" s="179"/>
      <c r="E384" s="179"/>
      <c r="F384" s="185"/>
      <c r="G384" s="186"/>
      <c r="H384" s="182"/>
      <c r="I384" s="193">
        <f t="shared" si="28"/>
        <v>0</v>
      </c>
      <c r="J384" s="192">
        <f t="shared" si="29"/>
        <v>0</v>
      </c>
      <c r="K384" s="173"/>
      <c r="L384" s="191">
        <f t="shared" si="27"/>
        <v>0</v>
      </c>
      <c r="M384" s="190">
        <f t="shared" si="30"/>
        <v>0</v>
      </c>
      <c r="N384" s="176"/>
      <c r="O384" s="176"/>
      <c r="P384" s="201"/>
      <c r="Q384" s="201"/>
      <c r="R384" s="309"/>
      <c r="S384" s="309"/>
    </row>
    <row r="385" spans="1:19" x14ac:dyDescent="0.25">
      <c r="A385" s="196"/>
      <c r="B385" s="174"/>
      <c r="C385" s="200"/>
      <c r="D385" s="179"/>
      <c r="E385" s="179"/>
      <c r="F385" s="185"/>
      <c r="G385" s="186"/>
      <c r="H385" s="182"/>
      <c r="I385" s="193">
        <f t="shared" si="28"/>
        <v>0</v>
      </c>
      <c r="J385" s="192">
        <f t="shared" si="29"/>
        <v>0</v>
      </c>
      <c r="K385" s="173"/>
      <c r="L385" s="191">
        <f t="shared" si="27"/>
        <v>0</v>
      </c>
      <c r="M385" s="190">
        <f t="shared" si="30"/>
        <v>0</v>
      </c>
      <c r="N385" s="176"/>
      <c r="O385" s="176"/>
      <c r="P385" s="201"/>
      <c r="Q385" s="201"/>
      <c r="R385" s="309"/>
      <c r="S385" s="309"/>
    </row>
    <row r="386" spans="1:19" x14ac:dyDescent="0.25">
      <c r="A386" s="196"/>
      <c r="B386" s="174"/>
      <c r="C386" s="200"/>
      <c r="D386" s="179"/>
      <c r="E386" s="179"/>
      <c r="F386" s="185"/>
      <c r="G386" s="186"/>
      <c r="H386" s="182"/>
      <c r="I386" s="193">
        <f t="shared" si="28"/>
        <v>0</v>
      </c>
      <c r="J386" s="192">
        <f t="shared" si="29"/>
        <v>0</v>
      </c>
      <c r="K386" s="173"/>
      <c r="L386" s="191">
        <f t="shared" si="27"/>
        <v>0</v>
      </c>
      <c r="M386" s="190">
        <f t="shared" si="30"/>
        <v>0</v>
      </c>
      <c r="N386" s="176"/>
      <c r="O386" s="176"/>
      <c r="P386" s="201"/>
      <c r="Q386" s="201"/>
      <c r="R386" s="309"/>
      <c r="S386" s="309"/>
    </row>
    <row r="387" spans="1:19" x14ac:dyDescent="0.25">
      <c r="A387" s="196"/>
      <c r="B387" s="174"/>
      <c r="C387" s="200"/>
      <c r="D387" s="179"/>
      <c r="E387" s="179"/>
      <c r="F387" s="185"/>
      <c r="G387" s="186"/>
      <c r="H387" s="182"/>
      <c r="I387" s="193">
        <f t="shared" si="28"/>
        <v>0</v>
      </c>
      <c r="J387" s="192">
        <f t="shared" si="29"/>
        <v>0</v>
      </c>
      <c r="K387" s="173"/>
      <c r="L387" s="191">
        <f t="shared" si="27"/>
        <v>0</v>
      </c>
      <c r="M387" s="190">
        <f t="shared" si="30"/>
        <v>0</v>
      </c>
      <c r="N387" s="176"/>
      <c r="O387" s="176"/>
      <c r="P387" s="201"/>
      <c r="Q387" s="201"/>
      <c r="R387" s="309"/>
      <c r="S387" s="309"/>
    </row>
    <row r="388" spans="1:19" x14ac:dyDescent="0.25">
      <c r="A388" s="196"/>
      <c r="B388" s="174"/>
      <c r="C388" s="200"/>
      <c r="D388" s="179"/>
      <c r="E388" s="179"/>
      <c r="F388" s="185"/>
      <c r="G388" s="186"/>
      <c r="H388" s="182"/>
      <c r="I388" s="193">
        <f t="shared" si="28"/>
        <v>0</v>
      </c>
      <c r="J388" s="192">
        <f t="shared" si="29"/>
        <v>0</v>
      </c>
      <c r="K388" s="173"/>
      <c r="L388" s="191">
        <f t="shared" ref="L388:L451" si="31">K388*I388</f>
        <v>0</v>
      </c>
      <c r="M388" s="190">
        <f t="shared" si="30"/>
        <v>0</v>
      </c>
      <c r="N388" s="176"/>
      <c r="O388" s="176"/>
      <c r="P388" s="201"/>
      <c r="Q388" s="201"/>
      <c r="R388" s="309"/>
      <c r="S388" s="309"/>
    </row>
    <row r="389" spans="1:19" x14ac:dyDescent="0.25">
      <c r="A389" s="196"/>
      <c r="B389" s="174"/>
      <c r="C389" s="200"/>
      <c r="D389" s="179"/>
      <c r="E389" s="179"/>
      <c r="F389" s="185"/>
      <c r="G389" s="186"/>
      <c r="H389" s="182"/>
      <c r="I389" s="193">
        <f t="shared" ref="I389:I452" si="32">F389*G389</f>
        <v>0</v>
      </c>
      <c r="J389" s="192">
        <f t="shared" si="29"/>
        <v>0</v>
      </c>
      <c r="K389" s="173"/>
      <c r="L389" s="191">
        <f t="shared" si="31"/>
        <v>0</v>
      </c>
      <c r="M389" s="190">
        <f t="shared" si="30"/>
        <v>0</v>
      </c>
      <c r="N389" s="176"/>
      <c r="O389" s="176"/>
      <c r="P389" s="201"/>
      <c r="Q389" s="201"/>
      <c r="R389" s="309"/>
      <c r="S389" s="309"/>
    </row>
    <row r="390" spans="1:19" x14ac:dyDescent="0.25">
      <c r="A390" s="196"/>
      <c r="B390" s="174"/>
      <c r="C390" s="200"/>
      <c r="D390" s="179"/>
      <c r="E390" s="179"/>
      <c r="F390" s="185"/>
      <c r="G390" s="186"/>
      <c r="H390" s="182"/>
      <c r="I390" s="193">
        <f t="shared" si="32"/>
        <v>0</v>
      </c>
      <c r="J390" s="192">
        <f t="shared" ref="J390:J453" si="33">F390*H390</f>
        <v>0</v>
      </c>
      <c r="K390" s="173"/>
      <c r="L390" s="191">
        <f t="shared" si="31"/>
        <v>0</v>
      </c>
      <c r="M390" s="190">
        <f t="shared" ref="M390:M453" si="34">K390*J390</f>
        <v>0</v>
      </c>
      <c r="N390" s="176"/>
      <c r="O390" s="176"/>
      <c r="P390" s="201"/>
      <c r="Q390" s="201"/>
      <c r="R390" s="309"/>
      <c r="S390" s="309"/>
    </row>
    <row r="391" spans="1:19" x14ac:dyDescent="0.25">
      <c r="A391" s="196"/>
      <c r="B391" s="174"/>
      <c r="C391" s="200"/>
      <c r="D391" s="179"/>
      <c r="E391" s="179"/>
      <c r="F391" s="185"/>
      <c r="G391" s="186"/>
      <c r="H391" s="182"/>
      <c r="I391" s="193">
        <f t="shared" si="32"/>
        <v>0</v>
      </c>
      <c r="J391" s="192">
        <f t="shared" si="33"/>
        <v>0</v>
      </c>
      <c r="K391" s="173"/>
      <c r="L391" s="191">
        <f t="shared" si="31"/>
        <v>0</v>
      </c>
      <c r="M391" s="190">
        <f t="shared" si="34"/>
        <v>0</v>
      </c>
      <c r="N391" s="176"/>
      <c r="O391" s="176"/>
      <c r="P391" s="201"/>
      <c r="Q391" s="201"/>
      <c r="R391" s="309"/>
      <c r="S391" s="309"/>
    </row>
    <row r="392" spans="1:19" x14ac:dyDescent="0.25">
      <c r="A392" s="196"/>
      <c r="B392" s="174"/>
      <c r="C392" s="200"/>
      <c r="D392" s="179"/>
      <c r="E392" s="179"/>
      <c r="F392" s="185"/>
      <c r="G392" s="186"/>
      <c r="H392" s="182"/>
      <c r="I392" s="193">
        <f t="shared" si="32"/>
        <v>0</v>
      </c>
      <c r="J392" s="192">
        <f t="shared" si="33"/>
        <v>0</v>
      </c>
      <c r="K392" s="173"/>
      <c r="L392" s="191">
        <f t="shared" si="31"/>
        <v>0</v>
      </c>
      <c r="M392" s="190">
        <f t="shared" si="34"/>
        <v>0</v>
      </c>
      <c r="N392" s="176"/>
      <c r="O392" s="176"/>
      <c r="P392" s="201"/>
      <c r="Q392" s="201"/>
      <c r="R392" s="309"/>
      <c r="S392" s="309"/>
    </row>
    <row r="393" spans="1:19" x14ac:dyDescent="0.25">
      <c r="A393" s="196"/>
      <c r="B393" s="174"/>
      <c r="C393" s="200"/>
      <c r="D393" s="179"/>
      <c r="E393" s="179"/>
      <c r="F393" s="185"/>
      <c r="G393" s="186"/>
      <c r="H393" s="182"/>
      <c r="I393" s="193">
        <f t="shared" si="32"/>
        <v>0</v>
      </c>
      <c r="J393" s="192">
        <f t="shared" si="33"/>
        <v>0</v>
      </c>
      <c r="K393" s="173"/>
      <c r="L393" s="191">
        <f t="shared" si="31"/>
        <v>0</v>
      </c>
      <c r="M393" s="190">
        <f t="shared" si="34"/>
        <v>0</v>
      </c>
      <c r="N393" s="176"/>
      <c r="O393" s="176"/>
      <c r="P393" s="201"/>
      <c r="Q393" s="201"/>
      <c r="R393" s="309"/>
      <c r="S393" s="309"/>
    </row>
    <row r="394" spans="1:19" x14ac:dyDescent="0.25">
      <c r="A394" s="196"/>
      <c r="B394" s="174"/>
      <c r="C394" s="200"/>
      <c r="D394" s="179"/>
      <c r="E394" s="179"/>
      <c r="F394" s="185"/>
      <c r="G394" s="186"/>
      <c r="H394" s="182"/>
      <c r="I394" s="193">
        <f t="shared" si="32"/>
        <v>0</v>
      </c>
      <c r="J394" s="192">
        <f t="shared" si="33"/>
        <v>0</v>
      </c>
      <c r="K394" s="173"/>
      <c r="L394" s="191">
        <f t="shared" si="31"/>
        <v>0</v>
      </c>
      <c r="M394" s="190">
        <f t="shared" si="34"/>
        <v>0</v>
      </c>
      <c r="N394" s="176"/>
      <c r="O394" s="176"/>
      <c r="P394" s="201"/>
      <c r="Q394" s="201"/>
      <c r="R394" s="309"/>
      <c r="S394" s="309"/>
    </row>
    <row r="395" spans="1:19" x14ac:dyDescent="0.25">
      <c r="A395" s="196"/>
      <c r="B395" s="174"/>
      <c r="C395" s="200"/>
      <c r="D395" s="179"/>
      <c r="E395" s="179"/>
      <c r="F395" s="185"/>
      <c r="G395" s="186"/>
      <c r="H395" s="182"/>
      <c r="I395" s="193">
        <f t="shared" si="32"/>
        <v>0</v>
      </c>
      <c r="J395" s="192">
        <f t="shared" si="33"/>
        <v>0</v>
      </c>
      <c r="K395" s="173"/>
      <c r="L395" s="191">
        <f t="shared" si="31"/>
        <v>0</v>
      </c>
      <c r="M395" s="190">
        <f t="shared" si="34"/>
        <v>0</v>
      </c>
      <c r="N395" s="176"/>
      <c r="O395" s="176"/>
      <c r="P395" s="201"/>
      <c r="Q395" s="201"/>
      <c r="R395" s="309"/>
      <c r="S395" s="309"/>
    </row>
    <row r="396" spans="1:19" x14ac:dyDescent="0.25">
      <c r="A396" s="196"/>
      <c r="B396" s="174"/>
      <c r="C396" s="200"/>
      <c r="D396" s="179"/>
      <c r="E396" s="179"/>
      <c r="F396" s="185"/>
      <c r="G396" s="186"/>
      <c r="H396" s="182"/>
      <c r="I396" s="193">
        <f t="shared" si="32"/>
        <v>0</v>
      </c>
      <c r="J396" s="192">
        <f t="shared" si="33"/>
        <v>0</v>
      </c>
      <c r="K396" s="173"/>
      <c r="L396" s="191">
        <f t="shared" si="31"/>
        <v>0</v>
      </c>
      <c r="M396" s="190">
        <f t="shared" si="34"/>
        <v>0</v>
      </c>
      <c r="N396" s="176"/>
      <c r="O396" s="176"/>
      <c r="P396" s="201"/>
      <c r="Q396" s="201"/>
      <c r="R396" s="309"/>
      <c r="S396" s="309"/>
    </row>
    <row r="397" spans="1:19" x14ac:dyDescent="0.25">
      <c r="A397" s="196"/>
      <c r="B397" s="174"/>
      <c r="C397" s="200"/>
      <c r="D397" s="179"/>
      <c r="E397" s="179"/>
      <c r="F397" s="185"/>
      <c r="G397" s="186"/>
      <c r="H397" s="182"/>
      <c r="I397" s="193">
        <f t="shared" si="32"/>
        <v>0</v>
      </c>
      <c r="J397" s="192">
        <f t="shared" si="33"/>
        <v>0</v>
      </c>
      <c r="K397" s="173"/>
      <c r="L397" s="191">
        <f t="shared" si="31"/>
        <v>0</v>
      </c>
      <c r="M397" s="190">
        <f t="shared" si="34"/>
        <v>0</v>
      </c>
      <c r="N397" s="176"/>
      <c r="O397" s="176"/>
      <c r="P397" s="201"/>
      <c r="Q397" s="201"/>
      <c r="R397" s="309"/>
      <c r="S397" s="309"/>
    </row>
    <row r="398" spans="1:19" x14ac:dyDescent="0.25">
      <c r="A398" s="196"/>
      <c r="B398" s="174"/>
      <c r="C398" s="200"/>
      <c r="D398" s="179"/>
      <c r="E398" s="179"/>
      <c r="F398" s="185"/>
      <c r="G398" s="186"/>
      <c r="H398" s="182"/>
      <c r="I398" s="193">
        <f t="shared" si="32"/>
        <v>0</v>
      </c>
      <c r="J398" s="192">
        <f t="shared" si="33"/>
        <v>0</v>
      </c>
      <c r="K398" s="173"/>
      <c r="L398" s="191">
        <f t="shared" si="31"/>
        <v>0</v>
      </c>
      <c r="M398" s="190">
        <f t="shared" si="34"/>
        <v>0</v>
      </c>
      <c r="N398" s="176"/>
      <c r="O398" s="176"/>
      <c r="P398" s="201"/>
      <c r="Q398" s="201"/>
      <c r="R398" s="309"/>
      <c r="S398" s="309"/>
    </row>
    <row r="399" spans="1:19" x14ac:dyDescent="0.25">
      <c r="A399" s="196"/>
      <c r="B399" s="174"/>
      <c r="C399" s="200"/>
      <c r="D399" s="179"/>
      <c r="E399" s="179"/>
      <c r="F399" s="185"/>
      <c r="G399" s="186"/>
      <c r="H399" s="182"/>
      <c r="I399" s="193">
        <f t="shared" si="32"/>
        <v>0</v>
      </c>
      <c r="J399" s="192">
        <f t="shared" si="33"/>
        <v>0</v>
      </c>
      <c r="K399" s="173"/>
      <c r="L399" s="191">
        <f t="shared" si="31"/>
        <v>0</v>
      </c>
      <c r="M399" s="190">
        <f t="shared" si="34"/>
        <v>0</v>
      </c>
      <c r="N399" s="176"/>
      <c r="O399" s="176"/>
      <c r="P399" s="201"/>
      <c r="Q399" s="201"/>
      <c r="R399" s="309"/>
      <c r="S399" s="309"/>
    </row>
    <row r="400" spans="1:19" x14ac:dyDescent="0.25">
      <c r="A400" s="196"/>
      <c r="B400" s="174"/>
      <c r="C400" s="200"/>
      <c r="D400" s="179"/>
      <c r="E400" s="179"/>
      <c r="F400" s="185"/>
      <c r="G400" s="186"/>
      <c r="H400" s="182"/>
      <c r="I400" s="193">
        <f t="shared" si="32"/>
        <v>0</v>
      </c>
      <c r="J400" s="192">
        <f t="shared" si="33"/>
        <v>0</v>
      </c>
      <c r="K400" s="173"/>
      <c r="L400" s="191">
        <f t="shared" si="31"/>
        <v>0</v>
      </c>
      <c r="M400" s="190">
        <f t="shared" si="34"/>
        <v>0</v>
      </c>
      <c r="N400" s="176"/>
      <c r="O400" s="176"/>
      <c r="P400" s="201"/>
      <c r="Q400" s="201"/>
      <c r="R400" s="309"/>
      <c r="S400" s="309"/>
    </row>
    <row r="401" spans="1:19" x14ac:dyDescent="0.25">
      <c r="A401" s="196"/>
      <c r="B401" s="174"/>
      <c r="C401" s="200"/>
      <c r="D401" s="179"/>
      <c r="E401" s="179"/>
      <c r="F401" s="185"/>
      <c r="G401" s="186"/>
      <c r="H401" s="182"/>
      <c r="I401" s="193">
        <f t="shared" si="32"/>
        <v>0</v>
      </c>
      <c r="J401" s="192">
        <f t="shared" si="33"/>
        <v>0</v>
      </c>
      <c r="K401" s="173"/>
      <c r="L401" s="191">
        <f t="shared" si="31"/>
        <v>0</v>
      </c>
      <c r="M401" s="190">
        <f t="shared" si="34"/>
        <v>0</v>
      </c>
      <c r="N401" s="176"/>
      <c r="O401" s="176"/>
      <c r="P401" s="201"/>
      <c r="Q401" s="201"/>
      <c r="R401" s="309"/>
      <c r="S401" s="309"/>
    </row>
    <row r="402" spans="1:19" x14ac:dyDescent="0.25">
      <c r="A402" s="196"/>
      <c r="B402" s="174"/>
      <c r="C402" s="200"/>
      <c r="D402" s="179"/>
      <c r="E402" s="179"/>
      <c r="F402" s="185"/>
      <c r="G402" s="186"/>
      <c r="H402" s="182"/>
      <c r="I402" s="193">
        <f t="shared" si="32"/>
        <v>0</v>
      </c>
      <c r="J402" s="192">
        <f t="shared" si="33"/>
        <v>0</v>
      </c>
      <c r="K402" s="173"/>
      <c r="L402" s="191">
        <f t="shared" si="31"/>
        <v>0</v>
      </c>
      <c r="M402" s="190">
        <f t="shared" si="34"/>
        <v>0</v>
      </c>
      <c r="N402" s="176"/>
      <c r="O402" s="176"/>
      <c r="P402" s="201"/>
      <c r="Q402" s="201"/>
      <c r="R402" s="309"/>
      <c r="S402" s="309"/>
    </row>
    <row r="403" spans="1:19" x14ac:dyDescent="0.25">
      <c r="A403" s="196"/>
      <c r="B403" s="174"/>
      <c r="C403" s="200"/>
      <c r="D403" s="179"/>
      <c r="E403" s="179"/>
      <c r="F403" s="185"/>
      <c r="G403" s="186"/>
      <c r="H403" s="182"/>
      <c r="I403" s="193">
        <f t="shared" si="32"/>
        <v>0</v>
      </c>
      <c r="J403" s="192">
        <f t="shared" si="33"/>
        <v>0</v>
      </c>
      <c r="K403" s="173"/>
      <c r="L403" s="191">
        <f t="shared" si="31"/>
        <v>0</v>
      </c>
      <c r="M403" s="190">
        <f t="shared" si="34"/>
        <v>0</v>
      </c>
      <c r="N403" s="176"/>
      <c r="O403" s="176"/>
      <c r="P403" s="201"/>
      <c r="Q403" s="201"/>
      <c r="R403" s="309"/>
      <c r="S403" s="309"/>
    </row>
    <row r="404" spans="1:19" x14ac:dyDescent="0.25">
      <c r="A404" s="196"/>
      <c r="B404" s="174"/>
      <c r="C404" s="200"/>
      <c r="D404" s="179"/>
      <c r="E404" s="179"/>
      <c r="F404" s="185"/>
      <c r="G404" s="186"/>
      <c r="H404" s="182"/>
      <c r="I404" s="193">
        <f t="shared" si="32"/>
        <v>0</v>
      </c>
      <c r="J404" s="192">
        <f t="shared" si="33"/>
        <v>0</v>
      </c>
      <c r="K404" s="173"/>
      <c r="L404" s="191">
        <f t="shared" si="31"/>
        <v>0</v>
      </c>
      <c r="M404" s="190">
        <f t="shared" si="34"/>
        <v>0</v>
      </c>
      <c r="N404" s="176"/>
      <c r="O404" s="176"/>
      <c r="P404" s="201"/>
      <c r="Q404" s="201"/>
      <c r="R404" s="309"/>
      <c r="S404" s="309"/>
    </row>
    <row r="405" spans="1:19" x14ac:dyDescent="0.25">
      <c r="A405" s="196"/>
      <c r="B405" s="174"/>
      <c r="C405" s="200"/>
      <c r="D405" s="179"/>
      <c r="E405" s="179"/>
      <c r="F405" s="185"/>
      <c r="G405" s="186"/>
      <c r="H405" s="182"/>
      <c r="I405" s="193">
        <f t="shared" si="32"/>
        <v>0</v>
      </c>
      <c r="J405" s="192">
        <f t="shared" si="33"/>
        <v>0</v>
      </c>
      <c r="K405" s="173"/>
      <c r="L405" s="191">
        <f t="shared" si="31"/>
        <v>0</v>
      </c>
      <c r="M405" s="190">
        <f t="shared" si="34"/>
        <v>0</v>
      </c>
      <c r="N405" s="176"/>
      <c r="O405" s="176"/>
      <c r="P405" s="201"/>
      <c r="Q405" s="201"/>
      <c r="R405" s="309"/>
      <c r="S405" s="309"/>
    </row>
    <row r="406" spans="1:19" x14ac:dyDescent="0.25">
      <c r="A406" s="196"/>
      <c r="B406" s="174"/>
      <c r="C406" s="200"/>
      <c r="D406" s="179"/>
      <c r="E406" s="179"/>
      <c r="F406" s="185"/>
      <c r="G406" s="186"/>
      <c r="H406" s="182"/>
      <c r="I406" s="193">
        <f t="shared" si="32"/>
        <v>0</v>
      </c>
      <c r="J406" s="192">
        <f t="shared" si="33"/>
        <v>0</v>
      </c>
      <c r="K406" s="173"/>
      <c r="L406" s="191">
        <f t="shared" si="31"/>
        <v>0</v>
      </c>
      <c r="M406" s="190">
        <f t="shared" si="34"/>
        <v>0</v>
      </c>
      <c r="N406" s="176"/>
      <c r="O406" s="176"/>
      <c r="P406" s="201"/>
      <c r="Q406" s="201"/>
      <c r="R406" s="309"/>
      <c r="S406" s="309"/>
    </row>
    <row r="407" spans="1:19" x14ac:dyDescent="0.25">
      <c r="A407" s="196"/>
      <c r="B407" s="174"/>
      <c r="C407" s="200"/>
      <c r="D407" s="179"/>
      <c r="E407" s="179"/>
      <c r="F407" s="185"/>
      <c r="G407" s="186"/>
      <c r="H407" s="182"/>
      <c r="I407" s="193">
        <f t="shared" si="32"/>
        <v>0</v>
      </c>
      <c r="J407" s="192">
        <f t="shared" si="33"/>
        <v>0</v>
      </c>
      <c r="K407" s="173"/>
      <c r="L407" s="191">
        <f t="shared" si="31"/>
        <v>0</v>
      </c>
      <c r="M407" s="190">
        <f t="shared" si="34"/>
        <v>0</v>
      </c>
      <c r="N407" s="176"/>
      <c r="O407" s="176"/>
      <c r="P407" s="201"/>
      <c r="Q407" s="201"/>
      <c r="R407" s="309"/>
      <c r="S407" s="309"/>
    </row>
    <row r="408" spans="1:19" x14ac:dyDescent="0.25">
      <c r="A408" s="196"/>
      <c r="B408" s="174"/>
      <c r="C408" s="200"/>
      <c r="D408" s="179"/>
      <c r="E408" s="179"/>
      <c r="F408" s="185"/>
      <c r="G408" s="186"/>
      <c r="H408" s="182"/>
      <c r="I408" s="193">
        <f t="shared" si="32"/>
        <v>0</v>
      </c>
      <c r="J408" s="192">
        <f t="shared" si="33"/>
        <v>0</v>
      </c>
      <c r="K408" s="173"/>
      <c r="L408" s="191">
        <f t="shared" si="31"/>
        <v>0</v>
      </c>
      <c r="M408" s="190">
        <f t="shared" si="34"/>
        <v>0</v>
      </c>
      <c r="N408" s="176"/>
      <c r="O408" s="176"/>
      <c r="P408" s="201"/>
      <c r="Q408" s="201"/>
      <c r="R408" s="309"/>
      <c r="S408" s="309"/>
    </row>
    <row r="409" spans="1:19" x14ac:dyDescent="0.25">
      <c r="A409" s="196"/>
      <c r="B409" s="174"/>
      <c r="C409" s="200"/>
      <c r="D409" s="179"/>
      <c r="E409" s="179"/>
      <c r="F409" s="185"/>
      <c r="G409" s="186"/>
      <c r="H409" s="182"/>
      <c r="I409" s="193">
        <f t="shared" si="32"/>
        <v>0</v>
      </c>
      <c r="J409" s="192">
        <f t="shared" si="33"/>
        <v>0</v>
      </c>
      <c r="K409" s="173"/>
      <c r="L409" s="191">
        <f t="shared" si="31"/>
        <v>0</v>
      </c>
      <c r="M409" s="190">
        <f t="shared" si="34"/>
        <v>0</v>
      </c>
      <c r="N409" s="176"/>
      <c r="O409" s="176"/>
      <c r="P409" s="201"/>
      <c r="Q409" s="201"/>
      <c r="R409" s="309"/>
      <c r="S409" s="309"/>
    </row>
    <row r="410" spans="1:19" x14ac:dyDescent="0.25">
      <c r="A410" s="196"/>
      <c r="B410" s="174"/>
      <c r="C410" s="200"/>
      <c r="D410" s="179"/>
      <c r="E410" s="179"/>
      <c r="F410" s="185"/>
      <c r="G410" s="186"/>
      <c r="H410" s="182"/>
      <c r="I410" s="193">
        <f t="shared" si="32"/>
        <v>0</v>
      </c>
      <c r="J410" s="192">
        <f t="shared" si="33"/>
        <v>0</v>
      </c>
      <c r="K410" s="173"/>
      <c r="L410" s="191">
        <f t="shared" si="31"/>
        <v>0</v>
      </c>
      <c r="M410" s="190">
        <f t="shared" si="34"/>
        <v>0</v>
      </c>
      <c r="N410" s="176"/>
      <c r="O410" s="176"/>
      <c r="P410" s="201"/>
      <c r="Q410" s="201"/>
      <c r="R410" s="309"/>
      <c r="S410" s="309"/>
    </row>
    <row r="411" spans="1:19" x14ac:dyDescent="0.25">
      <c r="A411" s="196"/>
      <c r="B411" s="174"/>
      <c r="C411" s="200"/>
      <c r="D411" s="179"/>
      <c r="E411" s="179"/>
      <c r="F411" s="185"/>
      <c r="G411" s="186"/>
      <c r="H411" s="182"/>
      <c r="I411" s="193">
        <f t="shared" si="32"/>
        <v>0</v>
      </c>
      <c r="J411" s="192">
        <f t="shared" si="33"/>
        <v>0</v>
      </c>
      <c r="K411" s="173"/>
      <c r="L411" s="191">
        <f t="shared" si="31"/>
        <v>0</v>
      </c>
      <c r="M411" s="190">
        <f t="shared" si="34"/>
        <v>0</v>
      </c>
      <c r="N411" s="176"/>
      <c r="O411" s="176"/>
      <c r="P411" s="201"/>
      <c r="Q411" s="201"/>
      <c r="R411" s="309"/>
      <c r="S411" s="309"/>
    </row>
    <row r="412" spans="1:19" x14ac:dyDescent="0.25">
      <c r="A412" s="196"/>
      <c r="B412" s="174"/>
      <c r="C412" s="200"/>
      <c r="D412" s="179"/>
      <c r="E412" s="179"/>
      <c r="F412" s="185"/>
      <c r="G412" s="186"/>
      <c r="H412" s="182"/>
      <c r="I412" s="193">
        <f t="shared" si="32"/>
        <v>0</v>
      </c>
      <c r="J412" s="192">
        <f t="shared" si="33"/>
        <v>0</v>
      </c>
      <c r="K412" s="173"/>
      <c r="L412" s="191">
        <f t="shared" si="31"/>
        <v>0</v>
      </c>
      <c r="M412" s="190">
        <f t="shared" si="34"/>
        <v>0</v>
      </c>
      <c r="N412" s="176"/>
      <c r="O412" s="176"/>
      <c r="P412" s="201"/>
      <c r="Q412" s="201"/>
      <c r="R412" s="309"/>
      <c r="S412" s="309"/>
    </row>
    <row r="413" spans="1:19" x14ac:dyDescent="0.25">
      <c r="A413" s="196"/>
      <c r="B413" s="174"/>
      <c r="C413" s="200"/>
      <c r="D413" s="179"/>
      <c r="E413" s="179"/>
      <c r="F413" s="185"/>
      <c r="G413" s="186"/>
      <c r="H413" s="182"/>
      <c r="I413" s="193">
        <f t="shared" si="32"/>
        <v>0</v>
      </c>
      <c r="J413" s="192">
        <f t="shared" si="33"/>
        <v>0</v>
      </c>
      <c r="K413" s="173"/>
      <c r="L413" s="191">
        <f t="shared" si="31"/>
        <v>0</v>
      </c>
      <c r="M413" s="190">
        <f t="shared" si="34"/>
        <v>0</v>
      </c>
      <c r="N413" s="176"/>
      <c r="O413" s="176"/>
      <c r="P413" s="201"/>
      <c r="Q413" s="201"/>
      <c r="R413" s="309"/>
      <c r="S413" s="309"/>
    </row>
    <row r="414" spans="1:19" x14ac:dyDescent="0.25">
      <c r="A414" s="196"/>
      <c r="B414" s="174"/>
      <c r="C414" s="200"/>
      <c r="D414" s="179"/>
      <c r="E414" s="179"/>
      <c r="F414" s="185"/>
      <c r="G414" s="186"/>
      <c r="H414" s="182"/>
      <c r="I414" s="193">
        <f t="shared" si="32"/>
        <v>0</v>
      </c>
      <c r="J414" s="192">
        <f t="shared" si="33"/>
        <v>0</v>
      </c>
      <c r="K414" s="173"/>
      <c r="L414" s="191">
        <f t="shared" si="31"/>
        <v>0</v>
      </c>
      <c r="M414" s="190">
        <f t="shared" si="34"/>
        <v>0</v>
      </c>
      <c r="N414" s="176"/>
      <c r="O414" s="176"/>
      <c r="P414" s="201"/>
      <c r="Q414" s="201"/>
      <c r="R414" s="309"/>
      <c r="S414" s="309"/>
    </row>
    <row r="415" spans="1:19" x14ac:dyDescent="0.25">
      <c r="A415" s="196"/>
      <c r="B415" s="174"/>
      <c r="C415" s="200"/>
      <c r="D415" s="179"/>
      <c r="E415" s="179"/>
      <c r="F415" s="185"/>
      <c r="G415" s="186"/>
      <c r="H415" s="182"/>
      <c r="I415" s="193">
        <f t="shared" si="32"/>
        <v>0</v>
      </c>
      <c r="J415" s="192">
        <f t="shared" si="33"/>
        <v>0</v>
      </c>
      <c r="K415" s="173"/>
      <c r="L415" s="191">
        <f t="shared" si="31"/>
        <v>0</v>
      </c>
      <c r="M415" s="190">
        <f t="shared" si="34"/>
        <v>0</v>
      </c>
      <c r="N415" s="176"/>
      <c r="O415" s="176"/>
      <c r="P415" s="201"/>
      <c r="Q415" s="201"/>
      <c r="R415" s="309"/>
      <c r="S415" s="309"/>
    </row>
    <row r="416" spans="1:19" x14ac:dyDescent="0.25">
      <c r="A416" s="196"/>
      <c r="B416" s="174"/>
      <c r="C416" s="200"/>
      <c r="D416" s="179"/>
      <c r="E416" s="179"/>
      <c r="F416" s="185"/>
      <c r="G416" s="186"/>
      <c r="H416" s="182"/>
      <c r="I416" s="193">
        <f t="shared" si="32"/>
        <v>0</v>
      </c>
      <c r="J416" s="192">
        <f t="shared" si="33"/>
        <v>0</v>
      </c>
      <c r="K416" s="173"/>
      <c r="L416" s="191">
        <f t="shared" si="31"/>
        <v>0</v>
      </c>
      <c r="M416" s="190">
        <f t="shared" si="34"/>
        <v>0</v>
      </c>
      <c r="N416" s="176"/>
      <c r="O416" s="176"/>
      <c r="P416" s="201"/>
      <c r="Q416" s="201"/>
      <c r="R416" s="309"/>
      <c r="S416" s="309"/>
    </row>
    <row r="417" spans="1:19" x14ac:dyDescent="0.25">
      <c r="A417" s="196"/>
      <c r="B417" s="174"/>
      <c r="C417" s="200"/>
      <c r="D417" s="179"/>
      <c r="E417" s="179"/>
      <c r="F417" s="185"/>
      <c r="G417" s="186"/>
      <c r="H417" s="182"/>
      <c r="I417" s="193">
        <f t="shared" si="32"/>
        <v>0</v>
      </c>
      <c r="J417" s="192">
        <f t="shared" si="33"/>
        <v>0</v>
      </c>
      <c r="K417" s="173"/>
      <c r="L417" s="191">
        <f t="shared" si="31"/>
        <v>0</v>
      </c>
      <c r="M417" s="190">
        <f t="shared" si="34"/>
        <v>0</v>
      </c>
      <c r="N417" s="176"/>
      <c r="O417" s="176"/>
      <c r="P417" s="201"/>
      <c r="Q417" s="201"/>
      <c r="R417" s="309"/>
      <c r="S417" s="309"/>
    </row>
    <row r="418" spans="1:19" x14ac:dyDescent="0.25">
      <c r="A418" s="196"/>
      <c r="B418" s="174"/>
      <c r="C418" s="200"/>
      <c r="D418" s="179"/>
      <c r="E418" s="179"/>
      <c r="F418" s="185"/>
      <c r="G418" s="186"/>
      <c r="H418" s="182"/>
      <c r="I418" s="193">
        <f t="shared" si="32"/>
        <v>0</v>
      </c>
      <c r="J418" s="192">
        <f t="shared" si="33"/>
        <v>0</v>
      </c>
      <c r="K418" s="173"/>
      <c r="L418" s="191">
        <f t="shared" si="31"/>
        <v>0</v>
      </c>
      <c r="M418" s="190">
        <f t="shared" si="34"/>
        <v>0</v>
      </c>
      <c r="N418" s="176"/>
      <c r="O418" s="176"/>
      <c r="P418" s="201"/>
      <c r="Q418" s="201"/>
      <c r="R418" s="309"/>
      <c r="S418" s="309"/>
    </row>
    <row r="419" spans="1:19" x14ac:dyDescent="0.25">
      <c r="A419" s="196"/>
      <c r="B419" s="174"/>
      <c r="C419" s="200"/>
      <c r="D419" s="179"/>
      <c r="E419" s="179"/>
      <c r="F419" s="185"/>
      <c r="G419" s="186"/>
      <c r="H419" s="182"/>
      <c r="I419" s="193">
        <f t="shared" si="32"/>
        <v>0</v>
      </c>
      <c r="J419" s="192">
        <f t="shared" si="33"/>
        <v>0</v>
      </c>
      <c r="K419" s="173"/>
      <c r="L419" s="191">
        <f t="shared" si="31"/>
        <v>0</v>
      </c>
      <c r="M419" s="190">
        <f t="shared" si="34"/>
        <v>0</v>
      </c>
      <c r="N419" s="176"/>
      <c r="O419" s="176"/>
      <c r="P419" s="201"/>
      <c r="Q419" s="201"/>
      <c r="R419" s="309"/>
      <c r="S419" s="309"/>
    </row>
    <row r="420" spans="1:19" x14ac:dyDescent="0.25">
      <c r="A420" s="196"/>
      <c r="B420" s="174"/>
      <c r="C420" s="200"/>
      <c r="D420" s="179"/>
      <c r="E420" s="179"/>
      <c r="F420" s="185"/>
      <c r="G420" s="186"/>
      <c r="H420" s="182"/>
      <c r="I420" s="193">
        <f t="shared" si="32"/>
        <v>0</v>
      </c>
      <c r="J420" s="192">
        <f t="shared" si="33"/>
        <v>0</v>
      </c>
      <c r="K420" s="173"/>
      <c r="L420" s="191">
        <f t="shared" si="31"/>
        <v>0</v>
      </c>
      <c r="M420" s="190">
        <f t="shared" si="34"/>
        <v>0</v>
      </c>
      <c r="N420" s="176"/>
      <c r="O420" s="176"/>
      <c r="P420" s="201"/>
      <c r="Q420" s="201"/>
      <c r="R420" s="309"/>
      <c r="S420" s="309"/>
    </row>
    <row r="421" spans="1:19" x14ac:dyDescent="0.25">
      <c r="A421" s="196"/>
      <c r="B421" s="174"/>
      <c r="C421" s="200"/>
      <c r="D421" s="179"/>
      <c r="E421" s="179"/>
      <c r="F421" s="185"/>
      <c r="G421" s="186"/>
      <c r="H421" s="182"/>
      <c r="I421" s="193">
        <f t="shared" si="32"/>
        <v>0</v>
      </c>
      <c r="J421" s="192">
        <f t="shared" si="33"/>
        <v>0</v>
      </c>
      <c r="K421" s="173"/>
      <c r="L421" s="191">
        <f t="shared" si="31"/>
        <v>0</v>
      </c>
      <c r="M421" s="190">
        <f t="shared" si="34"/>
        <v>0</v>
      </c>
      <c r="N421" s="176"/>
      <c r="O421" s="176"/>
      <c r="P421" s="201"/>
      <c r="Q421" s="201"/>
      <c r="R421" s="309"/>
      <c r="S421" s="309"/>
    </row>
    <row r="422" spans="1:19" x14ac:dyDescent="0.25">
      <c r="A422" s="196"/>
      <c r="B422" s="174"/>
      <c r="C422" s="200"/>
      <c r="D422" s="179"/>
      <c r="E422" s="179"/>
      <c r="F422" s="185"/>
      <c r="G422" s="186"/>
      <c r="H422" s="182"/>
      <c r="I422" s="193">
        <f t="shared" si="32"/>
        <v>0</v>
      </c>
      <c r="J422" s="192">
        <f t="shared" si="33"/>
        <v>0</v>
      </c>
      <c r="K422" s="173"/>
      <c r="L422" s="191">
        <f t="shared" si="31"/>
        <v>0</v>
      </c>
      <c r="M422" s="190">
        <f t="shared" si="34"/>
        <v>0</v>
      </c>
      <c r="N422" s="176"/>
      <c r="O422" s="176"/>
      <c r="P422" s="201"/>
      <c r="Q422" s="201"/>
      <c r="R422" s="309"/>
      <c r="S422" s="309"/>
    </row>
    <row r="423" spans="1:19" x14ac:dyDescent="0.25">
      <c r="A423" s="196"/>
      <c r="B423" s="174"/>
      <c r="C423" s="200"/>
      <c r="D423" s="179"/>
      <c r="E423" s="179"/>
      <c r="F423" s="185"/>
      <c r="G423" s="186"/>
      <c r="H423" s="182"/>
      <c r="I423" s="193">
        <f t="shared" si="32"/>
        <v>0</v>
      </c>
      <c r="J423" s="192">
        <f t="shared" si="33"/>
        <v>0</v>
      </c>
      <c r="K423" s="173"/>
      <c r="L423" s="191">
        <f t="shared" si="31"/>
        <v>0</v>
      </c>
      <c r="M423" s="190">
        <f t="shared" si="34"/>
        <v>0</v>
      </c>
      <c r="N423" s="176"/>
      <c r="O423" s="176"/>
      <c r="P423" s="201"/>
      <c r="Q423" s="201"/>
      <c r="R423" s="309"/>
      <c r="S423" s="309"/>
    </row>
    <row r="424" spans="1:19" x14ac:dyDescent="0.25">
      <c r="A424" s="196"/>
      <c r="B424" s="174"/>
      <c r="C424" s="200"/>
      <c r="D424" s="179"/>
      <c r="E424" s="179"/>
      <c r="F424" s="185"/>
      <c r="G424" s="186"/>
      <c r="H424" s="182"/>
      <c r="I424" s="193">
        <f t="shared" si="32"/>
        <v>0</v>
      </c>
      <c r="J424" s="192">
        <f t="shared" si="33"/>
        <v>0</v>
      </c>
      <c r="K424" s="173"/>
      <c r="L424" s="191">
        <f t="shared" si="31"/>
        <v>0</v>
      </c>
      <c r="M424" s="190">
        <f t="shared" si="34"/>
        <v>0</v>
      </c>
      <c r="N424" s="176"/>
      <c r="O424" s="176"/>
      <c r="P424" s="201"/>
      <c r="Q424" s="201"/>
      <c r="R424" s="309"/>
      <c r="S424" s="309"/>
    </row>
    <row r="425" spans="1:19" x14ac:dyDescent="0.25">
      <c r="A425" s="196"/>
      <c r="B425" s="174"/>
      <c r="C425" s="200"/>
      <c r="D425" s="179"/>
      <c r="E425" s="179"/>
      <c r="F425" s="185"/>
      <c r="G425" s="186"/>
      <c r="H425" s="182"/>
      <c r="I425" s="193">
        <f t="shared" si="32"/>
        <v>0</v>
      </c>
      <c r="J425" s="192">
        <f t="shared" si="33"/>
        <v>0</v>
      </c>
      <c r="K425" s="173"/>
      <c r="L425" s="191">
        <f t="shared" si="31"/>
        <v>0</v>
      </c>
      <c r="M425" s="190">
        <f t="shared" si="34"/>
        <v>0</v>
      </c>
      <c r="N425" s="176"/>
      <c r="O425" s="176"/>
      <c r="P425" s="201"/>
      <c r="Q425" s="201"/>
      <c r="R425" s="309"/>
      <c r="S425" s="309"/>
    </row>
    <row r="426" spans="1:19" x14ac:dyDescent="0.25">
      <c r="A426" s="196"/>
      <c r="B426" s="174"/>
      <c r="C426" s="200"/>
      <c r="D426" s="179"/>
      <c r="E426" s="179"/>
      <c r="F426" s="185"/>
      <c r="G426" s="186"/>
      <c r="H426" s="182"/>
      <c r="I426" s="193">
        <f t="shared" si="32"/>
        <v>0</v>
      </c>
      <c r="J426" s="192">
        <f t="shared" si="33"/>
        <v>0</v>
      </c>
      <c r="K426" s="173"/>
      <c r="L426" s="191">
        <f t="shared" si="31"/>
        <v>0</v>
      </c>
      <c r="M426" s="190">
        <f t="shared" si="34"/>
        <v>0</v>
      </c>
      <c r="N426" s="176"/>
      <c r="O426" s="176"/>
      <c r="P426" s="201"/>
      <c r="Q426" s="201"/>
      <c r="R426" s="309"/>
      <c r="S426" s="309"/>
    </row>
    <row r="427" spans="1:19" x14ac:dyDescent="0.25">
      <c r="A427" s="196"/>
      <c r="B427" s="174"/>
      <c r="C427" s="200"/>
      <c r="D427" s="179"/>
      <c r="E427" s="179"/>
      <c r="F427" s="185"/>
      <c r="G427" s="186"/>
      <c r="H427" s="182"/>
      <c r="I427" s="193">
        <f t="shared" si="32"/>
        <v>0</v>
      </c>
      <c r="J427" s="192">
        <f t="shared" si="33"/>
        <v>0</v>
      </c>
      <c r="K427" s="173"/>
      <c r="L427" s="191">
        <f t="shared" si="31"/>
        <v>0</v>
      </c>
      <c r="M427" s="190">
        <f t="shared" si="34"/>
        <v>0</v>
      </c>
      <c r="N427" s="176"/>
      <c r="O427" s="176"/>
      <c r="P427" s="201"/>
      <c r="Q427" s="201"/>
      <c r="R427" s="309"/>
      <c r="S427" s="309"/>
    </row>
    <row r="428" spans="1:19" x14ac:dyDescent="0.25">
      <c r="A428" s="196"/>
      <c r="B428" s="174"/>
      <c r="C428" s="200"/>
      <c r="D428" s="179"/>
      <c r="E428" s="179"/>
      <c r="F428" s="185"/>
      <c r="G428" s="186"/>
      <c r="H428" s="182"/>
      <c r="I428" s="193">
        <f t="shared" si="32"/>
        <v>0</v>
      </c>
      <c r="J428" s="192">
        <f t="shared" si="33"/>
        <v>0</v>
      </c>
      <c r="K428" s="173"/>
      <c r="L428" s="191">
        <f t="shared" si="31"/>
        <v>0</v>
      </c>
      <c r="M428" s="190">
        <f t="shared" si="34"/>
        <v>0</v>
      </c>
      <c r="N428" s="176"/>
      <c r="O428" s="176"/>
      <c r="P428" s="201"/>
      <c r="Q428" s="201"/>
      <c r="R428" s="309"/>
      <c r="S428" s="309"/>
    </row>
    <row r="429" spans="1:19" x14ac:dyDescent="0.25">
      <c r="A429" s="196"/>
      <c r="B429" s="174"/>
      <c r="C429" s="200"/>
      <c r="D429" s="179"/>
      <c r="E429" s="179"/>
      <c r="F429" s="185"/>
      <c r="G429" s="186"/>
      <c r="H429" s="182"/>
      <c r="I429" s="193">
        <f t="shared" si="32"/>
        <v>0</v>
      </c>
      <c r="J429" s="192">
        <f t="shared" si="33"/>
        <v>0</v>
      </c>
      <c r="K429" s="173"/>
      <c r="L429" s="191">
        <f t="shared" si="31"/>
        <v>0</v>
      </c>
      <c r="M429" s="190">
        <f t="shared" si="34"/>
        <v>0</v>
      </c>
      <c r="N429" s="176"/>
      <c r="O429" s="176"/>
      <c r="P429" s="201"/>
      <c r="Q429" s="201"/>
      <c r="R429" s="309"/>
      <c r="S429" s="309"/>
    </row>
    <row r="430" spans="1:19" x14ac:dyDescent="0.25">
      <c r="A430" s="196"/>
      <c r="B430" s="174"/>
      <c r="C430" s="200"/>
      <c r="D430" s="179"/>
      <c r="E430" s="179"/>
      <c r="F430" s="185"/>
      <c r="G430" s="186"/>
      <c r="H430" s="182"/>
      <c r="I430" s="193">
        <f t="shared" si="32"/>
        <v>0</v>
      </c>
      <c r="J430" s="192">
        <f t="shared" si="33"/>
        <v>0</v>
      </c>
      <c r="K430" s="173"/>
      <c r="L430" s="191">
        <f t="shared" si="31"/>
        <v>0</v>
      </c>
      <c r="M430" s="190">
        <f t="shared" si="34"/>
        <v>0</v>
      </c>
      <c r="N430" s="176"/>
      <c r="O430" s="176"/>
      <c r="P430" s="201"/>
      <c r="Q430" s="201"/>
      <c r="R430" s="309"/>
      <c r="S430" s="309"/>
    </row>
    <row r="431" spans="1:19" x14ac:dyDescent="0.25">
      <c r="A431" s="196"/>
      <c r="B431" s="174"/>
      <c r="C431" s="200"/>
      <c r="D431" s="179"/>
      <c r="E431" s="179"/>
      <c r="F431" s="185"/>
      <c r="G431" s="186"/>
      <c r="H431" s="182"/>
      <c r="I431" s="193">
        <f t="shared" si="32"/>
        <v>0</v>
      </c>
      <c r="J431" s="192">
        <f t="shared" si="33"/>
        <v>0</v>
      </c>
      <c r="K431" s="173"/>
      <c r="L431" s="191">
        <f t="shared" si="31"/>
        <v>0</v>
      </c>
      <c r="M431" s="190">
        <f t="shared" si="34"/>
        <v>0</v>
      </c>
      <c r="N431" s="176"/>
      <c r="O431" s="176"/>
      <c r="P431" s="201"/>
      <c r="Q431" s="201"/>
      <c r="R431" s="309"/>
      <c r="S431" s="309"/>
    </row>
    <row r="432" spans="1:19" x14ac:dyDescent="0.25">
      <c r="A432" s="196"/>
      <c r="B432" s="174"/>
      <c r="C432" s="200"/>
      <c r="D432" s="179"/>
      <c r="E432" s="179"/>
      <c r="F432" s="185"/>
      <c r="G432" s="186"/>
      <c r="H432" s="182"/>
      <c r="I432" s="193">
        <f t="shared" si="32"/>
        <v>0</v>
      </c>
      <c r="J432" s="192">
        <f t="shared" si="33"/>
        <v>0</v>
      </c>
      <c r="K432" s="173"/>
      <c r="L432" s="191">
        <f t="shared" si="31"/>
        <v>0</v>
      </c>
      <c r="M432" s="190">
        <f t="shared" si="34"/>
        <v>0</v>
      </c>
      <c r="N432" s="176"/>
      <c r="O432" s="176"/>
      <c r="P432" s="201"/>
      <c r="Q432" s="201"/>
      <c r="R432" s="309"/>
      <c r="S432" s="309"/>
    </row>
    <row r="433" spans="1:19" x14ac:dyDescent="0.25">
      <c r="A433" s="196"/>
      <c r="B433" s="174"/>
      <c r="C433" s="200"/>
      <c r="D433" s="179"/>
      <c r="E433" s="179"/>
      <c r="F433" s="185"/>
      <c r="G433" s="186"/>
      <c r="H433" s="182"/>
      <c r="I433" s="193">
        <f t="shared" si="32"/>
        <v>0</v>
      </c>
      <c r="J433" s="192">
        <f t="shared" si="33"/>
        <v>0</v>
      </c>
      <c r="K433" s="173"/>
      <c r="L433" s="191">
        <f t="shared" si="31"/>
        <v>0</v>
      </c>
      <c r="M433" s="190">
        <f t="shared" si="34"/>
        <v>0</v>
      </c>
      <c r="N433" s="176"/>
      <c r="O433" s="176"/>
      <c r="P433" s="201"/>
      <c r="Q433" s="201"/>
      <c r="R433" s="309"/>
      <c r="S433" s="309"/>
    </row>
    <row r="434" spans="1:19" x14ac:dyDescent="0.25">
      <c r="A434" s="196"/>
      <c r="B434" s="174"/>
      <c r="C434" s="200"/>
      <c r="D434" s="179"/>
      <c r="E434" s="179"/>
      <c r="F434" s="185"/>
      <c r="G434" s="186"/>
      <c r="H434" s="182"/>
      <c r="I434" s="193">
        <f t="shared" si="32"/>
        <v>0</v>
      </c>
      <c r="J434" s="192">
        <f t="shared" si="33"/>
        <v>0</v>
      </c>
      <c r="K434" s="173"/>
      <c r="L434" s="191">
        <f t="shared" si="31"/>
        <v>0</v>
      </c>
      <c r="M434" s="190">
        <f t="shared" si="34"/>
        <v>0</v>
      </c>
      <c r="N434" s="176"/>
      <c r="O434" s="176"/>
      <c r="P434" s="201"/>
      <c r="Q434" s="201"/>
      <c r="R434" s="309"/>
      <c r="S434" s="309"/>
    </row>
    <row r="435" spans="1:19" x14ac:dyDescent="0.25">
      <c r="A435" s="196"/>
      <c r="B435" s="174"/>
      <c r="C435" s="200"/>
      <c r="D435" s="179"/>
      <c r="E435" s="179"/>
      <c r="F435" s="185"/>
      <c r="G435" s="186"/>
      <c r="H435" s="182"/>
      <c r="I435" s="193">
        <f t="shared" si="32"/>
        <v>0</v>
      </c>
      <c r="J435" s="192">
        <f t="shared" si="33"/>
        <v>0</v>
      </c>
      <c r="K435" s="173"/>
      <c r="L435" s="191">
        <f t="shared" si="31"/>
        <v>0</v>
      </c>
      <c r="M435" s="190">
        <f t="shared" si="34"/>
        <v>0</v>
      </c>
      <c r="N435" s="176"/>
      <c r="O435" s="176"/>
      <c r="P435" s="201"/>
      <c r="Q435" s="201"/>
      <c r="R435" s="309"/>
      <c r="S435" s="309"/>
    </row>
    <row r="436" spans="1:19" x14ac:dyDescent="0.25">
      <c r="A436" s="196"/>
      <c r="B436" s="174"/>
      <c r="C436" s="200"/>
      <c r="D436" s="179"/>
      <c r="E436" s="179"/>
      <c r="F436" s="185"/>
      <c r="G436" s="186"/>
      <c r="H436" s="182"/>
      <c r="I436" s="193">
        <f t="shared" si="32"/>
        <v>0</v>
      </c>
      <c r="J436" s="192">
        <f t="shared" si="33"/>
        <v>0</v>
      </c>
      <c r="K436" s="173"/>
      <c r="L436" s="191">
        <f t="shared" si="31"/>
        <v>0</v>
      </c>
      <c r="M436" s="190">
        <f t="shared" si="34"/>
        <v>0</v>
      </c>
      <c r="N436" s="176"/>
      <c r="O436" s="176"/>
      <c r="P436" s="201"/>
      <c r="Q436" s="201"/>
      <c r="R436" s="309"/>
      <c r="S436" s="309"/>
    </row>
    <row r="437" spans="1:19" x14ac:dyDescent="0.25">
      <c r="A437" s="196"/>
      <c r="B437" s="174"/>
      <c r="C437" s="200"/>
      <c r="D437" s="179"/>
      <c r="E437" s="179"/>
      <c r="F437" s="185"/>
      <c r="G437" s="186"/>
      <c r="H437" s="182"/>
      <c r="I437" s="193">
        <f t="shared" si="32"/>
        <v>0</v>
      </c>
      <c r="J437" s="192">
        <f t="shared" si="33"/>
        <v>0</v>
      </c>
      <c r="K437" s="173"/>
      <c r="L437" s="191">
        <f t="shared" si="31"/>
        <v>0</v>
      </c>
      <c r="M437" s="190">
        <f t="shared" si="34"/>
        <v>0</v>
      </c>
      <c r="N437" s="176"/>
      <c r="O437" s="176"/>
      <c r="P437" s="201"/>
      <c r="Q437" s="201"/>
      <c r="R437" s="309"/>
      <c r="S437" s="309"/>
    </row>
    <row r="438" spans="1:19" x14ac:dyDescent="0.25">
      <c r="A438" s="196"/>
      <c r="B438" s="174"/>
      <c r="C438" s="200"/>
      <c r="D438" s="179"/>
      <c r="E438" s="179"/>
      <c r="F438" s="185"/>
      <c r="G438" s="186"/>
      <c r="H438" s="182"/>
      <c r="I438" s="193">
        <f t="shared" si="32"/>
        <v>0</v>
      </c>
      <c r="J438" s="192">
        <f t="shared" si="33"/>
        <v>0</v>
      </c>
      <c r="K438" s="173"/>
      <c r="L438" s="191">
        <f t="shared" si="31"/>
        <v>0</v>
      </c>
      <c r="M438" s="190">
        <f t="shared" si="34"/>
        <v>0</v>
      </c>
      <c r="N438" s="176"/>
      <c r="O438" s="176"/>
      <c r="P438" s="201"/>
      <c r="Q438" s="201"/>
      <c r="R438" s="309"/>
      <c r="S438" s="309"/>
    </row>
    <row r="439" spans="1:19" x14ac:dyDescent="0.25">
      <c r="A439" s="196"/>
      <c r="B439" s="174"/>
      <c r="C439" s="200"/>
      <c r="D439" s="179"/>
      <c r="E439" s="179"/>
      <c r="F439" s="185"/>
      <c r="G439" s="186"/>
      <c r="H439" s="182"/>
      <c r="I439" s="193">
        <f t="shared" si="32"/>
        <v>0</v>
      </c>
      <c r="J439" s="192">
        <f t="shared" si="33"/>
        <v>0</v>
      </c>
      <c r="K439" s="173"/>
      <c r="L439" s="191">
        <f t="shared" si="31"/>
        <v>0</v>
      </c>
      <c r="M439" s="190">
        <f t="shared" si="34"/>
        <v>0</v>
      </c>
      <c r="N439" s="176"/>
      <c r="O439" s="176"/>
      <c r="P439" s="201"/>
      <c r="Q439" s="201"/>
      <c r="R439" s="309"/>
      <c r="S439" s="309"/>
    </row>
    <row r="440" spans="1:19" x14ac:dyDescent="0.25">
      <c r="A440" s="196"/>
      <c r="B440" s="174"/>
      <c r="C440" s="200"/>
      <c r="D440" s="179"/>
      <c r="E440" s="179"/>
      <c r="F440" s="185"/>
      <c r="G440" s="186"/>
      <c r="H440" s="182"/>
      <c r="I440" s="193">
        <f t="shared" si="32"/>
        <v>0</v>
      </c>
      <c r="J440" s="192">
        <f t="shared" si="33"/>
        <v>0</v>
      </c>
      <c r="K440" s="173"/>
      <c r="L440" s="191">
        <f t="shared" si="31"/>
        <v>0</v>
      </c>
      <c r="M440" s="190">
        <f t="shared" si="34"/>
        <v>0</v>
      </c>
      <c r="N440" s="176"/>
      <c r="O440" s="176"/>
      <c r="P440" s="201"/>
      <c r="Q440" s="201"/>
      <c r="R440" s="309"/>
      <c r="S440" s="309"/>
    </row>
    <row r="441" spans="1:19" x14ac:dyDescent="0.25">
      <c r="A441" s="196"/>
      <c r="B441" s="174"/>
      <c r="C441" s="200"/>
      <c r="D441" s="179"/>
      <c r="E441" s="179"/>
      <c r="F441" s="185"/>
      <c r="G441" s="186"/>
      <c r="H441" s="182"/>
      <c r="I441" s="193">
        <f t="shared" si="32"/>
        <v>0</v>
      </c>
      <c r="J441" s="192">
        <f t="shared" si="33"/>
        <v>0</v>
      </c>
      <c r="K441" s="173"/>
      <c r="L441" s="191">
        <f t="shared" si="31"/>
        <v>0</v>
      </c>
      <c r="M441" s="190">
        <f t="shared" si="34"/>
        <v>0</v>
      </c>
      <c r="N441" s="176"/>
      <c r="O441" s="176"/>
      <c r="P441" s="201"/>
      <c r="Q441" s="201"/>
      <c r="R441" s="309"/>
      <c r="S441" s="309"/>
    </row>
    <row r="442" spans="1:19" x14ac:dyDescent="0.25">
      <c r="A442" s="196"/>
      <c r="B442" s="174"/>
      <c r="C442" s="200"/>
      <c r="D442" s="179"/>
      <c r="E442" s="179"/>
      <c r="F442" s="185"/>
      <c r="G442" s="186"/>
      <c r="H442" s="182"/>
      <c r="I442" s="193">
        <f t="shared" si="32"/>
        <v>0</v>
      </c>
      <c r="J442" s="192">
        <f t="shared" si="33"/>
        <v>0</v>
      </c>
      <c r="K442" s="173"/>
      <c r="L442" s="191">
        <f t="shared" si="31"/>
        <v>0</v>
      </c>
      <c r="M442" s="190">
        <f t="shared" si="34"/>
        <v>0</v>
      </c>
      <c r="N442" s="176"/>
      <c r="O442" s="176"/>
      <c r="P442" s="201"/>
      <c r="Q442" s="201"/>
      <c r="R442" s="309"/>
      <c r="S442" s="309"/>
    </row>
    <row r="443" spans="1:19" x14ac:dyDescent="0.25">
      <c r="A443" s="196"/>
      <c r="B443" s="174"/>
      <c r="C443" s="200"/>
      <c r="D443" s="179"/>
      <c r="E443" s="179"/>
      <c r="F443" s="185"/>
      <c r="G443" s="186"/>
      <c r="H443" s="182"/>
      <c r="I443" s="193">
        <f t="shared" si="32"/>
        <v>0</v>
      </c>
      <c r="J443" s="192">
        <f t="shared" si="33"/>
        <v>0</v>
      </c>
      <c r="K443" s="173"/>
      <c r="L443" s="191">
        <f t="shared" si="31"/>
        <v>0</v>
      </c>
      <c r="M443" s="190">
        <f t="shared" si="34"/>
        <v>0</v>
      </c>
      <c r="N443" s="176"/>
      <c r="O443" s="176"/>
      <c r="P443" s="201"/>
      <c r="Q443" s="201"/>
      <c r="R443" s="309"/>
      <c r="S443" s="309"/>
    </row>
    <row r="444" spans="1:19" x14ac:dyDescent="0.25">
      <c r="A444" s="196"/>
      <c r="B444" s="174"/>
      <c r="C444" s="200"/>
      <c r="D444" s="179"/>
      <c r="E444" s="179"/>
      <c r="F444" s="185"/>
      <c r="G444" s="186"/>
      <c r="H444" s="182"/>
      <c r="I444" s="193">
        <f t="shared" si="32"/>
        <v>0</v>
      </c>
      <c r="J444" s="192">
        <f t="shared" si="33"/>
        <v>0</v>
      </c>
      <c r="K444" s="173"/>
      <c r="L444" s="191">
        <f t="shared" si="31"/>
        <v>0</v>
      </c>
      <c r="M444" s="190">
        <f t="shared" si="34"/>
        <v>0</v>
      </c>
      <c r="N444" s="176"/>
      <c r="O444" s="176"/>
      <c r="P444" s="201"/>
      <c r="Q444" s="201"/>
      <c r="R444" s="309"/>
      <c r="S444" s="309"/>
    </row>
    <row r="445" spans="1:19" x14ac:dyDescent="0.25">
      <c r="A445" s="196"/>
      <c r="B445" s="174"/>
      <c r="C445" s="200"/>
      <c r="D445" s="179"/>
      <c r="E445" s="179"/>
      <c r="F445" s="185"/>
      <c r="G445" s="186"/>
      <c r="H445" s="182"/>
      <c r="I445" s="193">
        <f t="shared" si="32"/>
        <v>0</v>
      </c>
      <c r="J445" s="192">
        <f t="shared" si="33"/>
        <v>0</v>
      </c>
      <c r="K445" s="173"/>
      <c r="L445" s="191">
        <f t="shared" si="31"/>
        <v>0</v>
      </c>
      <c r="M445" s="190">
        <f t="shared" si="34"/>
        <v>0</v>
      </c>
      <c r="N445" s="176"/>
      <c r="O445" s="176"/>
      <c r="P445" s="201"/>
      <c r="Q445" s="201"/>
      <c r="R445" s="309"/>
      <c r="S445" s="309"/>
    </row>
    <row r="446" spans="1:19" x14ac:dyDescent="0.25">
      <c r="A446" s="196"/>
      <c r="B446" s="174"/>
      <c r="C446" s="200"/>
      <c r="D446" s="179"/>
      <c r="E446" s="179"/>
      <c r="F446" s="185"/>
      <c r="G446" s="186"/>
      <c r="H446" s="182"/>
      <c r="I446" s="193">
        <f t="shared" si="32"/>
        <v>0</v>
      </c>
      <c r="J446" s="192">
        <f t="shared" si="33"/>
        <v>0</v>
      </c>
      <c r="K446" s="173"/>
      <c r="L446" s="191">
        <f t="shared" si="31"/>
        <v>0</v>
      </c>
      <c r="M446" s="190">
        <f t="shared" si="34"/>
        <v>0</v>
      </c>
      <c r="N446" s="176"/>
      <c r="O446" s="176"/>
      <c r="P446" s="201"/>
      <c r="Q446" s="201"/>
      <c r="R446" s="309"/>
      <c r="S446" s="309"/>
    </row>
    <row r="447" spans="1:19" x14ac:dyDescent="0.25">
      <c r="A447" s="196"/>
      <c r="B447" s="174"/>
      <c r="C447" s="200"/>
      <c r="D447" s="179"/>
      <c r="E447" s="179"/>
      <c r="F447" s="185"/>
      <c r="G447" s="186"/>
      <c r="H447" s="182"/>
      <c r="I447" s="193">
        <f t="shared" si="32"/>
        <v>0</v>
      </c>
      <c r="J447" s="192">
        <f t="shared" si="33"/>
        <v>0</v>
      </c>
      <c r="K447" s="173"/>
      <c r="L447" s="191">
        <f t="shared" si="31"/>
        <v>0</v>
      </c>
      <c r="M447" s="190">
        <f t="shared" si="34"/>
        <v>0</v>
      </c>
      <c r="N447" s="176"/>
      <c r="O447" s="176"/>
      <c r="P447" s="201"/>
      <c r="Q447" s="201"/>
      <c r="R447" s="309"/>
      <c r="S447" s="309"/>
    </row>
    <row r="448" spans="1:19" x14ac:dyDescent="0.25">
      <c r="A448" s="196"/>
      <c r="B448" s="174"/>
      <c r="C448" s="200"/>
      <c r="D448" s="179"/>
      <c r="E448" s="179"/>
      <c r="F448" s="185"/>
      <c r="G448" s="186"/>
      <c r="H448" s="182"/>
      <c r="I448" s="193">
        <f t="shared" si="32"/>
        <v>0</v>
      </c>
      <c r="J448" s="192">
        <f t="shared" si="33"/>
        <v>0</v>
      </c>
      <c r="K448" s="173"/>
      <c r="L448" s="191">
        <f t="shared" si="31"/>
        <v>0</v>
      </c>
      <c r="M448" s="190">
        <f t="shared" si="34"/>
        <v>0</v>
      </c>
      <c r="N448" s="176"/>
      <c r="O448" s="176"/>
      <c r="P448" s="201"/>
      <c r="Q448" s="201"/>
      <c r="R448" s="309"/>
      <c r="S448" s="309"/>
    </row>
    <row r="449" spans="1:19" x14ac:dyDescent="0.25">
      <c r="A449" s="196"/>
      <c r="B449" s="174"/>
      <c r="C449" s="200"/>
      <c r="D449" s="179"/>
      <c r="E449" s="179"/>
      <c r="F449" s="185"/>
      <c r="G449" s="186"/>
      <c r="H449" s="182"/>
      <c r="I449" s="193">
        <f t="shared" si="32"/>
        <v>0</v>
      </c>
      <c r="J449" s="192">
        <f t="shared" si="33"/>
        <v>0</v>
      </c>
      <c r="K449" s="173"/>
      <c r="L449" s="191">
        <f t="shared" si="31"/>
        <v>0</v>
      </c>
      <c r="M449" s="190">
        <f t="shared" si="34"/>
        <v>0</v>
      </c>
      <c r="N449" s="176"/>
      <c r="O449" s="176"/>
      <c r="P449" s="201"/>
      <c r="Q449" s="201"/>
      <c r="R449" s="309"/>
      <c r="S449" s="309"/>
    </row>
    <row r="450" spans="1:19" x14ac:dyDescent="0.25">
      <c r="A450" s="196"/>
      <c r="B450" s="174"/>
      <c r="C450" s="200"/>
      <c r="D450" s="179"/>
      <c r="E450" s="179"/>
      <c r="F450" s="185"/>
      <c r="G450" s="186"/>
      <c r="H450" s="182"/>
      <c r="I450" s="193">
        <f t="shared" si="32"/>
        <v>0</v>
      </c>
      <c r="J450" s="192">
        <f t="shared" si="33"/>
        <v>0</v>
      </c>
      <c r="K450" s="173"/>
      <c r="L450" s="191">
        <f t="shared" si="31"/>
        <v>0</v>
      </c>
      <c r="M450" s="190">
        <f t="shared" si="34"/>
        <v>0</v>
      </c>
      <c r="N450" s="176"/>
      <c r="O450" s="176"/>
      <c r="P450" s="201"/>
      <c r="Q450" s="201"/>
      <c r="R450" s="309"/>
      <c r="S450" s="309"/>
    </row>
    <row r="451" spans="1:19" x14ac:dyDescent="0.25">
      <c r="A451" s="196"/>
      <c r="B451" s="174"/>
      <c r="C451" s="200"/>
      <c r="D451" s="179"/>
      <c r="E451" s="179"/>
      <c r="F451" s="185"/>
      <c r="G451" s="186"/>
      <c r="H451" s="182"/>
      <c r="I451" s="193">
        <f t="shared" si="32"/>
        <v>0</v>
      </c>
      <c r="J451" s="192">
        <f t="shared" si="33"/>
        <v>0</v>
      </c>
      <c r="K451" s="173"/>
      <c r="L451" s="191">
        <f t="shared" si="31"/>
        <v>0</v>
      </c>
      <c r="M451" s="190">
        <f t="shared" si="34"/>
        <v>0</v>
      </c>
      <c r="N451" s="176"/>
      <c r="O451" s="176"/>
      <c r="P451" s="201"/>
      <c r="Q451" s="201"/>
      <c r="R451" s="309"/>
      <c r="S451" s="309"/>
    </row>
    <row r="452" spans="1:19" x14ac:dyDescent="0.25">
      <c r="A452" s="196"/>
      <c r="B452" s="174"/>
      <c r="C452" s="200"/>
      <c r="D452" s="179"/>
      <c r="E452" s="179"/>
      <c r="F452" s="185"/>
      <c r="G452" s="186"/>
      <c r="H452" s="182"/>
      <c r="I452" s="193">
        <f t="shared" si="32"/>
        <v>0</v>
      </c>
      <c r="J452" s="192">
        <f t="shared" si="33"/>
        <v>0</v>
      </c>
      <c r="K452" s="173"/>
      <c r="L452" s="191">
        <f t="shared" ref="L452:L515" si="35">K452*I452</f>
        <v>0</v>
      </c>
      <c r="M452" s="190">
        <f t="shared" si="34"/>
        <v>0</v>
      </c>
      <c r="N452" s="176"/>
      <c r="O452" s="176"/>
      <c r="P452" s="201"/>
      <c r="Q452" s="201"/>
      <c r="R452" s="309"/>
      <c r="S452" s="309"/>
    </row>
    <row r="453" spans="1:19" x14ac:dyDescent="0.25">
      <c r="A453" s="196"/>
      <c r="B453" s="174"/>
      <c r="C453" s="200"/>
      <c r="D453" s="179"/>
      <c r="E453" s="179"/>
      <c r="F453" s="185"/>
      <c r="G453" s="186"/>
      <c r="H453" s="182"/>
      <c r="I453" s="193">
        <f t="shared" ref="I453:I516" si="36">F453*G453</f>
        <v>0</v>
      </c>
      <c r="J453" s="192">
        <f t="shared" si="33"/>
        <v>0</v>
      </c>
      <c r="K453" s="173"/>
      <c r="L453" s="191">
        <f t="shared" si="35"/>
        <v>0</v>
      </c>
      <c r="M453" s="190">
        <f t="shared" si="34"/>
        <v>0</v>
      </c>
      <c r="N453" s="176"/>
      <c r="O453" s="176"/>
      <c r="P453" s="201"/>
      <c r="Q453" s="201"/>
      <c r="R453" s="309"/>
      <c r="S453" s="309"/>
    </row>
    <row r="454" spans="1:19" x14ac:dyDescent="0.25">
      <c r="A454" s="196"/>
      <c r="B454" s="174"/>
      <c r="C454" s="200"/>
      <c r="D454" s="179"/>
      <c r="E454" s="179"/>
      <c r="F454" s="185"/>
      <c r="G454" s="186"/>
      <c r="H454" s="182"/>
      <c r="I454" s="193">
        <f t="shared" si="36"/>
        <v>0</v>
      </c>
      <c r="J454" s="192">
        <f t="shared" ref="J454:J517" si="37">F454*H454</f>
        <v>0</v>
      </c>
      <c r="K454" s="173"/>
      <c r="L454" s="191">
        <f t="shared" si="35"/>
        <v>0</v>
      </c>
      <c r="M454" s="190">
        <f t="shared" ref="M454:M517" si="38">K454*J454</f>
        <v>0</v>
      </c>
      <c r="N454" s="176"/>
      <c r="O454" s="176"/>
      <c r="P454" s="201"/>
      <c r="Q454" s="201"/>
      <c r="R454" s="309"/>
      <c r="S454" s="309"/>
    </row>
    <row r="455" spans="1:19" x14ac:dyDescent="0.25">
      <c r="A455" s="196"/>
      <c r="B455" s="174"/>
      <c r="C455" s="200"/>
      <c r="D455" s="179"/>
      <c r="E455" s="179"/>
      <c r="F455" s="185"/>
      <c r="G455" s="186"/>
      <c r="H455" s="182"/>
      <c r="I455" s="193">
        <f t="shared" si="36"/>
        <v>0</v>
      </c>
      <c r="J455" s="192">
        <f t="shared" si="37"/>
        <v>0</v>
      </c>
      <c r="K455" s="173"/>
      <c r="L455" s="191">
        <f t="shared" si="35"/>
        <v>0</v>
      </c>
      <c r="M455" s="190">
        <f t="shared" si="38"/>
        <v>0</v>
      </c>
      <c r="N455" s="176"/>
      <c r="O455" s="176"/>
      <c r="P455" s="201"/>
      <c r="Q455" s="201"/>
      <c r="R455" s="309"/>
      <c r="S455" s="309"/>
    </row>
    <row r="456" spans="1:19" x14ac:dyDescent="0.25">
      <c r="A456" s="196"/>
      <c r="B456" s="174"/>
      <c r="C456" s="200"/>
      <c r="D456" s="179"/>
      <c r="E456" s="179"/>
      <c r="F456" s="185"/>
      <c r="G456" s="186"/>
      <c r="H456" s="182"/>
      <c r="I456" s="193">
        <f t="shared" si="36"/>
        <v>0</v>
      </c>
      <c r="J456" s="192">
        <f t="shared" si="37"/>
        <v>0</v>
      </c>
      <c r="K456" s="173"/>
      <c r="L456" s="191">
        <f t="shared" si="35"/>
        <v>0</v>
      </c>
      <c r="M456" s="190">
        <f t="shared" si="38"/>
        <v>0</v>
      </c>
      <c r="N456" s="176"/>
      <c r="O456" s="176"/>
      <c r="P456" s="201"/>
      <c r="Q456" s="201"/>
      <c r="R456" s="309"/>
      <c r="S456" s="309"/>
    </row>
    <row r="457" spans="1:19" x14ac:dyDescent="0.25">
      <c r="A457" s="196"/>
      <c r="B457" s="174"/>
      <c r="C457" s="200"/>
      <c r="D457" s="179"/>
      <c r="E457" s="179"/>
      <c r="F457" s="185"/>
      <c r="G457" s="186"/>
      <c r="H457" s="182"/>
      <c r="I457" s="193">
        <f t="shared" si="36"/>
        <v>0</v>
      </c>
      <c r="J457" s="192">
        <f t="shared" si="37"/>
        <v>0</v>
      </c>
      <c r="K457" s="173"/>
      <c r="L457" s="191">
        <f t="shared" si="35"/>
        <v>0</v>
      </c>
      <c r="M457" s="190">
        <f t="shared" si="38"/>
        <v>0</v>
      </c>
      <c r="N457" s="176"/>
      <c r="O457" s="176"/>
      <c r="P457" s="201"/>
      <c r="Q457" s="201"/>
      <c r="R457" s="309"/>
      <c r="S457" s="309"/>
    </row>
    <row r="458" spans="1:19" x14ac:dyDescent="0.25">
      <c r="A458" s="196"/>
      <c r="B458" s="174"/>
      <c r="C458" s="200"/>
      <c r="D458" s="179"/>
      <c r="E458" s="179"/>
      <c r="F458" s="185"/>
      <c r="G458" s="186"/>
      <c r="H458" s="182"/>
      <c r="I458" s="193">
        <f t="shared" si="36"/>
        <v>0</v>
      </c>
      <c r="J458" s="192">
        <f t="shared" si="37"/>
        <v>0</v>
      </c>
      <c r="K458" s="173"/>
      <c r="L458" s="191">
        <f t="shared" si="35"/>
        <v>0</v>
      </c>
      <c r="M458" s="190">
        <f t="shared" si="38"/>
        <v>0</v>
      </c>
      <c r="N458" s="176"/>
      <c r="O458" s="176"/>
      <c r="P458" s="201"/>
      <c r="Q458" s="201"/>
      <c r="R458" s="309"/>
      <c r="S458" s="309"/>
    </row>
    <row r="459" spans="1:19" x14ac:dyDescent="0.25">
      <c r="A459" s="196"/>
      <c r="B459" s="174"/>
      <c r="C459" s="200"/>
      <c r="D459" s="179"/>
      <c r="E459" s="179"/>
      <c r="F459" s="185"/>
      <c r="G459" s="186"/>
      <c r="H459" s="182"/>
      <c r="I459" s="193">
        <f t="shared" si="36"/>
        <v>0</v>
      </c>
      <c r="J459" s="192">
        <f t="shared" si="37"/>
        <v>0</v>
      </c>
      <c r="K459" s="173"/>
      <c r="L459" s="191">
        <f t="shared" si="35"/>
        <v>0</v>
      </c>
      <c r="M459" s="190">
        <f t="shared" si="38"/>
        <v>0</v>
      </c>
      <c r="N459" s="176"/>
      <c r="O459" s="176"/>
      <c r="P459" s="201"/>
      <c r="Q459" s="201"/>
      <c r="R459" s="309"/>
      <c r="S459" s="309"/>
    </row>
    <row r="460" spans="1:19" x14ac:dyDescent="0.25">
      <c r="A460" s="196"/>
      <c r="B460" s="174"/>
      <c r="C460" s="200"/>
      <c r="D460" s="179"/>
      <c r="E460" s="179"/>
      <c r="F460" s="185"/>
      <c r="G460" s="186"/>
      <c r="H460" s="182"/>
      <c r="I460" s="193">
        <f t="shared" si="36"/>
        <v>0</v>
      </c>
      <c r="J460" s="192">
        <f t="shared" si="37"/>
        <v>0</v>
      </c>
      <c r="K460" s="173"/>
      <c r="L460" s="191">
        <f t="shared" si="35"/>
        <v>0</v>
      </c>
      <c r="M460" s="190">
        <f t="shared" si="38"/>
        <v>0</v>
      </c>
      <c r="N460" s="176"/>
      <c r="O460" s="176"/>
      <c r="P460" s="201"/>
      <c r="Q460" s="201"/>
      <c r="R460" s="309"/>
      <c r="S460" s="309"/>
    </row>
    <row r="461" spans="1:19" x14ac:dyDescent="0.25">
      <c r="A461" s="196"/>
      <c r="B461" s="174"/>
      <c r="C461" s="200"/>
      <c r="D461" s="179"/>
      <c r="E461" s="179"/>
      <c r="F461" s="185"/>
      <c r="G461" s="186"/>
      <c r="H461" s="182"/>
      <c r="I461" s="193">
        <f t="shared" si="36"/>
        <v>0</v>
      </c>
      <c r="J461" s="192">
        <f t="shared" si="37"/>
        <v>0</v>
      </c>
      <c r="K461" s="173"/>
      <c r="L461" s="191">
        <f t="shared" si="35"/>
        <v>0</v>
      </c>
      <c r="M461" s="190">
        <f t="shared" si="38"/>
        <v>0</v>
      </c>
      <c r="N461" s="176"/>
      <c r="O461" s="176"/>
      <c r="P461" s="201"/>
      <c r="Q461" s="201"/>
      <c r="R461" s="309"/>
      <c r="S461" s="309"/>
    </row>
    <row r="462" spans="1:19" x14ac:dyDescent="0.25">
      <c r="A462" s="196"/>
      <c r="B462" s="174"/>
      <c r="C462" s="200"/>
      <c r="D462" s="179"/>
      <c r="E462" s="179"/>
      <c r="F462" s="185"/>
      <c r="G462" s="186"/>
      <c r="H462" s="182"/>
      <c r="I462" s="193">
        <f t="shared" si="36"/>
        <v>0</v>
      </c>
      <c r="J462" s="192">
        <f t="shared" si="37"/>
        <v>0</v>
      </c>
      <c r="K462" s="173"/>
      <c r="L462" s="191">
        <f t="shared" si="35"/>
        <v>0</v>
      </c>
      <c r="M462" s="190">
        <f t="shared" si="38"/>
        <v>0</v>
      </c>
      <c r="N462" s="176"/>
      <c r="O462" s="176"/>
      <c r="P462" s="201"/>
      <c r="Q462" s="201"/>
      <c r="R462" s="309"/>
      <c r="S462" s="309"/>
    </row>
    <row r="463" spans="1:19" x14ac:dyDescent="0.25">
      <c r="A463" s="196"/>
      <c r="B463" s="174"/>
      <c r="C463" s="200"/>
      <c r="D463" s="179"/>
      <c r="E463" s="179"/>
      <c r="F463" s="185"/>
      <c r="G463" s="186"/>
      <c r="H463" s="182"/>
      <c r="I463" s="193">
        <f t="shared" si="36"/>
        <v>0</v>
      </c>
      <c r="J463" s="192">
        <f t="shared" si="37"/>
        <v>0</v>
      </c>
      <c r="K463" s="173"/>
      <c r="L463" s="191">
        <f t="shared" si="35"/>
        <v>0</v>
      </c>
      <c r="M463" s="190">
        <f t="shared" si="38"/>
        <v>0</v>
      </c>
      <c r="N463" s="176"/>
      <c r="O463" s="176"/>
      <c r="P463" s="201"/>
      <c r="Q463" s="201"/>
      <c r="R463" s="309"/>
      <c r="S463" s="309"/>
    </row>
    <row r="464" spans="1:19" x14ac:dyDescent="0.25">
      <c r="A464" s="196"/>
      <c r="B464" s="174"/>
      <c r="C464" s="200"/>
      <c r="D464" s="179"/>
      <c r="E464" s="179"/>
      <c r="F464" s="185"/>
      <c r="G464" s="186"/>
      <c r="H464" s="182"/>
      <c r="I464" s="193">
        <f t="shared" si="36"/>
        <v>0</v>
      </c>
      <c r="J464" s="192">
        <f t="shared" si="37"/>
        <v>0</v>
      </c>
      <c r="K464" s="173"/>
      <c r="L464" s="191">
        <f t="shared" si="35"/>
        <v>0</v>
      </c>
      <c r="M464" s="190">
        <f t="shared" si="38"/>
        <v>0</v>
      </c>
      <c r="N464" s="176"/>
      <c r="O464" s="176"/>
      <c r="P464" s="201"/>
      <c r="Q464" s="201"/>
      <c r="R464" s="309"/>
      <c r="S464" s="309"/>
    </row>
    <row r="465" spans="1:19" x14ac:dyDescent="0.25">
      <c r="A465" s="196"/>
      <c r="B465" s="174"/>
      <c r="C465" s="200"/>
      <c r="D465" s="179"/>
      <c r="E465" s="179"/>
      <c r="F465" s="185"/>
      <c r="G465" s="186"/>
      <c r="H465" s="182"/>
      <c r="I465" s="193">
        <f t="shared" si="36"/>
        <v>0</v>
      </c>
      <c r="J465" s="192">
        <f t="shared" si="37"/>
        <v>0</v>
      </c>
      <c r="K465" s="173"/>
      <c r="L465" s="191">
        <f t="shared" si="35"/>
        <v>0</v>
      </c>
      <c r="M465" s="190">
        <f t="shared" si="38"/>
        <v>0</v>
      </c>
      <c r="N465" s="176"/>
      <c r="O465" s="176"/>
      <c r="P465" s="201"/>
      <c r="Q465" s="201"/>
      <c r="R465" s="309"/>
      <c r="S465" s="309"/>
    </row>
    <row r="466" spans="1:19" x14ac:dyDescent="0.25">
      <c r="A466" s="196"/>
      <c r="B466" s="174"/>
      <c r="C466" s="200"/>
      <c r="D466" s="179"/>
      <c r="E466" s="179"/>
      <c r="F466" s="185"/>
      <c r="G466" s="186"/>
      <c r="H466" s="182"/>
      <c r="I466" s="193">
        <f t="shared" si="36"/>
        <v>0</v>
      </c>
      <c r="J466" s="192">
        <f t="shared" si="37"/>
        <v>0</v>
      </c>
      <c r="K466" s="173"/>
      <c r="L466" s="191">
        <f t="shared" si="35"/>
        <v>0</v>
      </c>
      <c r="M466" s="190">
        <f t="shared" si="38"/>
        <v>0</v>
      </c>
      <c r="N466" s="176"/>
      <c r="O466" s="176"/>
      <c r="P466" s="201"/>
      <c r="Q466" s="201"/>
      <c r="R466" s="309"/>
      <c r="S466" s="309"/>
    </row>
    <row r="467" spans="1:19" x14ac:dyDescent="0.25">
      <c r="A467" s="196"/>
      <c r="B467" s="174"/>
      <c r="C467" s="200"/>
      <c r="D467" s="179"/>
      <c r="E467" s="179"/>
      <c r="F467" s="185"/>
      <c r="G467" s="186"/>
      <c r="H467" s="182"/>
      <c r="I467" s="193">
        <f t="shared" si="36"/>
        <v>0</v>
      </c>
      <c r="J467" s="192">
        <f t="shared" si="37"/>
        <v>0</v>
      </c>
      <c r="K467" s="173"/>
      <c r="L467" s="191">
        <f t="shared" si="35"/>
        <v>0</v>
      </c>
      <c r="M467" s="190">
        <f t="shared" si="38"/>
        <v>0</v>
      </c>
      <c r="N467" s="176"/>
      <c r="O467" s="176"/>
      <c r="P467" s="201"/>
      <c r="Q467" s="201"/>
      <c r="R467" s="309"/>
      <c r="S467" s="309"/>
    </row>
    <row r="468" spans="1:19" x14ac:dyDescent="0.25">
      <c r="A468" s="196"/>
      <c r="B468" s="174"/>
      <c r="C468" s="200"/>
      <c r="D468" s="179"/>
      <c r="E468" s="179"/>
      <c r="F468" s="185"/>
      <c r="G468" s="186"/>
      <c r="H468" s="182"/>
      <c r="I468" s="193">
        <f t="shared" si="36"/>
        <v>0</v>
      </c>
      <c r="J468" s="192">
        <f t="shared" si="37"/>
        <v>0</v>
      </c>
      <c r="K468" s="173"/>
      <c r="L468" s="191">
        <f t="shared" si="35"/>
        <v>0</v>
      </c>
      <c r="M468" s="190">
        <f t="shared" si="38"/>
        <v>0</v>
      </c>
      <c r="N468" s="176"/>
      <c r="O468" s="176"/>
      <c r="P468" s="201"/>
      <c r="Q468" s="201"/>
      <c r="R468" s="309"/>
      <c r="S468" s="309"/>
    </row>
    <row r="469" spans="1:19" x14ac:dyDescent="0.25">
      <c r="A469" s="196"/>
      <c r="B469" s="174"/>
      <c r="C469" s="200"/>
      <c r="D469" s="179"/>
      <c r="E469" s="179"/>
      <c r="F469" s="185"/>
      <c r="G469" s="186"/>
      <c r="H469" s="182"/>
      <c r="I469" s="193">
        <f t="shared" si="36"/>
        <v>0</v>
      </c>
      <c r="J469" s="192">
        <f t="shared" si="37"/>
        <v>0</v>
      </c>
      <c r="K469" s="173"/>
      <c r="L469" s="191">
        <f t="shared" si="35"/>
        <v>0</v>
      </c>
      <c r="M469" s="190">
        <f t="shared" si="38"/>
        <v>0</v>
      </c>
      <c r="N469" s="176"/>
      <c r="O469" s="176"/>
      <c r="P469" s="201"/>
      <c r="Q469" s="201"/>
      <c r="R469" s="309"/>
      <c r="S469" s="309"/>
    </row>
    <row r="470" spans="1:19" x14ac:dyDescent="0.25">
      <c r="A470" s="196"/>
      <c r="B470" s="174"/>
      <c r="C470" s="200"/>
      <c r="D470" s="179"/>
      <c r="E470" s="179"/>
      <c r="F470" s="185"/>
      <c r="G470" s="186"/>
      <c r="H470" s="182"/>
      <c r="I470" s="193">
        <f t="shared" si="36"/>
        <v>0</v>
      </c>
      <c r="J470" s="192">
        <f t="shared" si="37"/>
        <v>0</v>
      </c>
      <c r="K470" s="173"/>
      <c r="L470" s="191">
        <f t="shared" si="35"/>
        <v>0</v>
      </c>
      <c r="M470" s="190">
        <f t="shared" si="38"/>
        <v>0</v>
      </c>
      <c r="N470" s="176"/>
      <c r="O470" s="176"/>
      <c r="P470" s="201"/>
      <c r="Q470" s="201"/>
      <c r="R470" s="309"/>
      <c r="S470" s="309"/>
    </row>
    <row r="471" spans="1:19" x14ac:dyDescent="0.25">
      <c r="A471" s="196"/>
      <c r="B471" s="174"/>
      <c r="C471" s="200"/>
      <c r="D471" s="179"/>
      <c r="E471" s="179"/>
      <c r="F471" s="185"/>
      <c r="G471" s="186"/>
      <c r="H471" s="182"/>
      <c r="I471" s="193">
        <f t="shared" si="36"/>
        <v>0</v>
      </c>
      <c r="J471" s="192">
        <f t="shared" si="37"/>
        <v>0</v>
      </c>
      <c r="K471" s="173"/>
      <c r="L471" s="191">
        <f t="shared" si="35"/>
        <v>0</v>
      </c>
      <c r="M471" s="190">
        <f t="shared" si="38"/>
        <v>0</v>
      </c>
      <c r="N471" s="176"/>
      <c r="O471" s="176"/>
      <c r="P471" s="201"/>
      <c r="Q471" s="201"/>
      <c r="R471" s="309"/>
      <c r="S471" s="309"/>
    </row>
    <row r="472" spans="1:19" x14ac:dyDescent="0.25">
      <c r="A472" s="196"/>
      <c r="B472" s="174"/>
      <c r="C472" s="200"/>
      <c r="D472" s="179"/>
      <c r="E472" s="179"/>
      <c r="F472" s="185"/>
      <c r="G472" s="186"/>
      <c r="H472" s="182"/>
      <c r="I472" s="193">
        <f t="shared" si="36"/>
        <v>0</v>
      </c>
      <c r="J472" s="192">
        <f t="shared" si="37"/>
        <v>0</v>
      </c>
      <c r="K472" s="173"/>
      <c r="L472" s="191">
        <f t="shared" si="35"/>
        <v>0</v>
      </c>
      <c r="M472" s="190">
        <f t="shared" si="38"/>
        <v>0</v>
      </c>
      <c r="N472" s="176"/>
      <c r="O472" s="176"/>
      <c r="P472" s="201"/>
      <c r="Q472" s="201"/>
      <c r="R472" s="309"/>
      <c r="S472" s="309"/>
    </row>
    <row r="473" spans="1:19" x14ac:dyDescent="0.25">
      <c r="A473" s="196"/>
      <c r="B473" s="174"/>
      <c r="C473" s="200"/>
      <c r="D473" s="179"/>
      <c r="E473" s="179"/>
      <c r="F473" s="185"/>
      <c r="G473" s="186"/>
      <c r="H473" s="182"/>
      <c r="I473" s="193">
        <f t="shared" si="36"/>
        <v>0</v>
      </c>
      <c r="J473" s="192">
        <f t="shared" si="37"/>
        <v>0</v>
      </c>
      <c r="K473" s="173"/>
      <c r="L473" s="191">
        <f t="shared" si="35"/>
        <v>0</v>
      </c>
      <c r="M473" s="190">
        <f t="shared" si="38"/>
        <v>0</v>
      </c>
      <c r="N473" s="176"/>
      <c r="O473" s="176"/>
      <c r="P473" s="201"/>
      <c r="Q473" s="201"/>
      <c r="R473" s="309"/>
      <c r="S473" s="309"/>
    </row>
    <row r="474" spans="1:19" x14ac:dyDescent="0.25">
      <c r="A474" s="196"/>
      <c r="B474" s="174"/>
      <c r="C474" s="200"/>
      <c r="D474" s="179"/>
      <c r="E474" s="179"/>
      <c r="F474" s="185"/>
      <c r="G474" s="186"/>
      <c r="H474" s="182"/>
      <c r="I474" s="193">
        <f t="shared" si="36"/>
        <v>0</v>
      </c>
      <c r="J474" s="192">
        <f t="shared" si="37"/>
        <v>0</v>
      </c>
      <c r="K474" s="173"/>
      <c r="L474" s="191">
        <f t="shared" si="35"/>
        <v>0</v>
      </c>
      <c r="M474" s="190">
        <f t="shared" si="38"/>
        <v>0</v>
      </c>
      <c r="N474" s="176"/>
      <c r="O474" s="176"/>
      <c r="P474" s="201"/>
      <c r="Q474" s="201"/>
      <c r="R474" s="309"/>
      <c r="S474" s="309"/>
    </row>
    <row r="475" spans="1:19" x14ac:dyDescent="0.25">
      <c r="A475" s="196"/>
      <c r="B475" s="174"/>
      <c r="C475" s="200"/>
      <c r="D475" s="179"/>
      <c r="E475" s="179"/>
      <c r="F475" s="185"/>
      <c r="G475" s="186"/>
      <c r="H475" s="182"/>
      <c r="I475" s="193">
        <f t="shared" si="36"/>
        <v>0</v>
      </c>
      <c r="J475" s="192">
        <f t="shared" si="37"/>
        <v>0</v>
      </c>
      <c r="K475" s="173"/>
      <c r="L475" s="191">
        <f t="shared" si="35"/>
        <v>0</v>
      </c>
      <c r="M475" s="190">
        <f t="shared" si="38"/>
        <v>0</v>
      </c>
      <c r="N475" s="176"/>
      <c r="O475" s="176"/>
      <c r="P475" s="201"/>
      <c r="Q475" s="201"/>
      <c r="R475" s="309"/>
      <c r="S475" s="309"/>
    </row>
    <row r="476" spans="1:19" x14ac:dyDescent="0.25">
      <c r="A476" s="196"/>
      <c r="B476" s="174"/>
      <c r="C476" s="200"/>
      <c r="D476" s="179"/>
      <c r="E476" s="179"/>
      <c r="F476" s="185"/>
      <c r="G476" s="186"/>
      <c r="H476" s="182"/>
      <c r="I476" s="193">
        <f t="shared" si="36"/>
        <v>0</v>
      </c>
      <c r="J476" s="192">
        <f t="shared" si="37"/>
        <v>0</v>
      </c>
      <c r="K476" s="173"/>
      <c r="L476" s="191">
        <f t="shared" si="35"/>
        <v>0</v>
      </c>
      <c r="M476" s="190">
        <f t="shared" si="38"/>
        <v>0</v>
      </c>
      <c r="N476" s="176"/>
      <c r="O476" s="176"/>
      <c r="P476" s="201"/>
      <c r="Q476" s="201"/>
      <c r="R476" s="309"/>
      <c r="S476" s="309"/>
    </row>
    <row r="477" spans="1:19" x14ac:dyDescent="0.25">
      <c r="A477" s="196"/>
      <c r="B477" s="174"/>
      <c r="C477" s="200"/>
      <c r="D477" s="179"/>
      <c r="E477" s="179"/>
      <c r="F477" s="185"/>
      <c r="G477" s="186"/>
      <c r="H477" s="182"/>
      <c r="I477" s="193">
        <f t="shared" si="36"/>
        <v>0</v>
      </c>
      <c r="J477" s="192">
        <f t="shared" si="37"/>
        <v>0</v>
      </c>
      <c r="K477" s="173"/>
      <c r="L477" s="191">
        <f t="shared" si="35"/>
        <v>0</v>
      </c>
      <c r="M477" s="190">
        <f t="shared" si="38"/>
        <v>0</v>
      </c>
      <c r="N477" s="176"/>
      <c r="O477" s="176"/>
      <c r="P477" s="201"/>
      <c r="Q477" s="201"/>
      <c r="R477" s="309"/>
      <c r="S477" s="309"/>
    </row>
    <row r="478" spans="1:19" x14ac:dyDescent="0.25">
      <c r="A478" s="196"/>
      <c r="B478" s="174"/>
      <c r="C478" s="200"/>
      <c r="D478" s="179"/>
      <c r="E478" s="179"/>
      <c r="F478" s="185"/>
      <c r="G478" s="186"/>
      <c r="H478" s="182"/>
      <c r="I478" s="193">
        <f t="shared" si="36"/>
        <v>0</v>
      </c>
      <c r="J478" s="192">
        <f t="shared" si="37"/>
        <v>0</v>
      </c>
      <c r="K478" s="173"/>
      <c r="L478" s="191">
        <f t="shared" si="35"/>
        <v>0</v>
      </c>
      <c r="M478" s="190">
        <f t="shared" si="38"/>
        <v>0</v>
      </c>
      <c r="N478" s="176"/>
      <c r="O478" s="176"/>
      <c r="P478" s="201"/>
      <c r="Q478" s="201"/>
      <c r="R478" s="309"/>
      <c r="S478" s="309"/>
    </row>
    <row r="479" spans="1:19" x14ac:dyDescent="0.25">
      <c r="A479" s="196"/>
      <c r="B479" s="174"/>
      <c r="C479" s="200"/>
      <c r="D479" s="179"/>
      <c r="E479" s="179"/>
      <c r="F479" s="185"/>
      <c r="G479" s="186"/>
      <c r="H479" s="182"/>
      <c r="I479" s="193">
        <f t="shared" si="36"/>
        <v>0</v>
      </c>
      <c r="J479" s="192">
        <f t="shared" si="37"/>
        <v>0</v>
      </c>
      <c r="K479" s="173"/>
      <c r="L479" s="191">
        <f t="shared" si="35"/>
        <v>0</v>
      </c>
      <c r="M479" s="190">
        <f t="shared" si="38"/>
        <v>0</v>
      </c>
      <c r="N479" s="176"/>
      <c r="O479" s="176"/>
      <c r="P479" s="201"/>
      <c r="Q479" s="201"/>
      <c r="R479" s="309"/>
      <c r="S479" s="309"/>
    </row>
    <row r="480" spans="1:19" x14ac:dyDescent="0.25">
      <c r="A480" s="196"/>
      <c r="B480" s="174"/>
      <c r="C480" s="200"/>
      <c r="D480" s="179"/>
      <c r="E480" s="179"/>
      <c r="F480" s="185"/>
      <c r="G480" s="186"/>
      <c r="H480" s="182"/>
      <c r="I480" s="193">
        <f t="shared" si="36"/>
        <v>0</v>
      </c>
      <c r="J480" s="192">
        <f t="shared" si="37"/>
        <v>0</v>
      </c>
      <c r="K480" s="173"/>
      <c r="L480" s="191">
        <f t="shared" si="35"/>
        <v>0</v>
      </c>
      <c r="M480" s="190">
        <f t="shared" si="38"/>
        <v>0</v>
      </c>
      <c r="N480" s="176"/>
      <c r="O480" s="176"/>
      <c r="P480" s="201"/>
      <c r="Q480" s="201"/>
      <c r="R480" s="309"/>
      <c r="S480" s="309"/>
    </row>
    <row r="481" spans="1:19" x14ac:dyDescent="0.25">
      <c r="A481" s="196"/>
      <c r="B481" s="174"/>
      <c r="C481" s="200"/>
      <c r="D481" s="179"/>
      <c r="E481" s="179"/>
      <c r="F481" s="185"/>
      <c r="G481" s="186"/>
      <c r="H481" s="182"/>
      <c r="I481" s="193">
        <f t="shared" si="36"/>
        <v>0</v>
      </c>
      <c r="J481" s="192">
        <f t="shared" si="37"/>
        <v>0</v>
      </c>
      <c r="K481" s="173"/>
      <c r="L481" s="191">
        <f t="shared" si="35"/>
        <v>0</v>
      </c>
      <c r="M481" s="190">
        <f t="shared" si="38"/>
        <v>0</v>
      </c>
      <c r="N481" s="176"/>
      <c r="O481" s="176"/>
      <c r="P481" s="201"/>
      <c r="Q481" s="201"/>
      <c r="R481" s="309"/>
      <c r="S481" s="309"/>
    </row>
    <row r="482" spans="1:19" x14ac:dyDescent="0.25">
      <c r="A482" s="196"/>
      <c r="B482" s="174"/>
      <c r="C482" s="200"/>
      <c r="D482" s="179"/>
      <c r="E482" s="179"/>
      <c r="F482" s="185"/>
      <c r="G482" s="186"/>
      <c r="H482" s="182"/>
      <c r="I482" s="193">
        <f t="shared" si="36"/>
        <v>0</v>
      </c>
      <c r="J482" s="192">
        <f t="shared" si="37"/>
        <v>0</v>
      </c>
      <c r="K482" s="173"/>
      <c r="L482" s="191">
        <f t="shared" si="35"/>
        <v>0</v>
      </c>
      <c r="M482" s="190">
        <f t="shared" si="38"/>
        <v>0</v>
      </c>
      <c r="N482" s="176"/>
      <c r="O482" s="176"/>
      <c r="P482" s="201"/>
      <c r="Q482" s="201"/>
      <c r="R482" s="309"/>
      <c r="S482" s="309"/>
    </row>
    <row r="483" spans="1:19" x14ac:dyDescent="0.25">
      <c r="A483" s="196"/>
      <c r="B483" s="174"/>
      <c r="C483" s="200"/>
      <c r="D483" s="179"/>
      <c r="E483" s="179"/>
      <c r="F483" s="185"/>
      <c r="G483" s="186"/>
      <c r="H483" s="182"/>
      <c r="I483" s="193">
        <f t="shared" si="36"/>
        <v>0</v>
      </c>
      <c r="J483" s="192">
        <f t="shared" si="37"/>
        <v>0</v>
      </c>
      <c r="K483" s="173"/>
      <c r="L483" s="191">
        <f t="shared" si="35"/>
        <v>0</v>
      </c>
      <c r="M483" s="190">
        <f t="shared" si="38"/>
        <v>0</v>
      </c>
      <c r="N483" s="176"/>
      <c r="O483" s="176"/>
      <c r="P483" s="201"/>
      <c r="Q483" s="201"/>
      <c r="R483" s="309"/>
      <c r="S483" s="309"/>
    </row>
    <row r="484" spans="1:19" x14ac:dyDescent="0.25">
      <c r="A484" s="196"/>
      <c r="B484" s="174"/>
      <c r="C484" s="200"/>
      <c r="D484" s="179"/>
      <c r="E484" s="179"/>
      <c r="F484" s="185"/>
      <c r="G484" s="186"/>
      <c r="H484" s="182"/>
      <c r="I484" s="193">
        <f t="shared" si="36"/>
        <v>0</v>
      </c>
      <c r="J484" s="192">
        <f t="shared" si="37"/>
        <v>0</v>
      </c>
      <c r="K484" s="173"/>
      <c r="L484" s="191">
        <f t="shared" si="35"/>
        <v>0</v>
      </c>
      <c r="M484" s="190">
        <f t="shared" si="38"/>
        <v>0</v>
      </c>
      <c r="N484" s="176"/>
      <c r="O484" s="176"/>
      <c r="P484" s="201"/>
      <c r="Q484" s="201"/>
      <c r="R484" s="309"/>
      <c r="S484" s="309"/>
    </row>
    <row r="485" spans="1:19" x14ac:dyDescent="0.25">
      <c r="A485" s="196"/>
      <c r="B485" s="174"/>
      <c r="C485" s="200"/>
      <c r="D485" s="179"/>
      <c r="E485" s="179"/>
      <c r="F485" s="185"/>
      <c r="G485" s="186"/>
      <c r="H485" s="182"/>
      <c r="I485" s="193">
        <f t="shared" si="36"/>
        <v>0</v>
      </c>
      <c r="J485" s="192">
        <f t="shared" si="37"/>
        <v>0</v>
      </c>
      <c r="K485" s="173"/>
      <c r="L485" s="191">
        <f t="shared" si="35"/>
        <v>0</v>
      </c>
      <c r="M485" s="190">
        <f t="shared" si="38"/>
        <v>0</v>
      </c>
      <c r="N485" s="176"/>
      <c r="O485" s="176"/>
      <c r="P485" s="201"/>
      <c r="Q485" s="201"/>
      <c r="R485" s="309"/>
      <c r="S485" s="309"/>
    </row>
    <row r="486" spans="1:19" x14ac:dyDescent="0.25">
      <c r="A486" s="196"/>
      <c r="B486" s="174"/>
      <c r="C486" s="200"/>
      <c r="D486" s="179"/>
      <c r="E486" s="179"/>
      <c r="F486" s="185"/>
      <c r="G486" s="186"/>
      <c r="H486" s="182"/>
      <c r="I486" s="193">
        <f t="shared" si="36"/>
        <v>0</v>
      </c>
      <c r="J486" s="192">
        <f t="shared" si="37"/>
        <v>0</v>
      </c>
      <c r="K486" s="173"/>
      <c r="L486" s="191">
        <f t="shared" si="35"/>
        <v>0</v>
      </c>
      <c r="M486" s="190">
        <f t="shared" si="38"/>
        <v>0</v>
      </c>
      <c r="N486" s="176"/>
      <c r="O486" s="176"/>
      <c r="P486" s="201"/>
      <c r="Q486" s="201"/>
      <c r="R486" s="309"/>
      <c r="S486" s="309"/>
    </row>
    <row r="487" spans="1:19" x14ac:dyDescent="0.25">
      <c r="A487" s="196"/>
      <c r="B487" s="174"/>
      <c r="C487" s="200"/>
      <c r="D487" s="179"/>
      <c r="E487" s="179"/>
      <c r="F487" s="185"/>
      <c r="G487" s="186"/>
      <c r="H487" s="182"/>
      <c r="I487" s="193">
        <f t="shared" si="36"/>
        <v>0</v>
      </c>
      <c r="J487" s="192">
        <f t="shared" si="37"/>
        <v>0</v>
      </c>
      <c r="K487" s="173"/>
      <c r="L487" s="191">
        <f t="shared" si="35"/>
        <v>0</v>
      </c>
      <c r="M487" s="190">
        <f t="shared" si="38"/>
        <v>0</v>
      </c>
      <c r="N487" s="176"/>
      <c r="O487" s="176"/>
      <c r="P487" s="201"/>
      <c r="Q487" s="201"/>
      <c r="R487" s="309"/>
      <c r="S487" s="309"/>
    </row>
    <row r="488" spans="1:19" x14ac:dyDescent="0.25">
      <c r="A488" s="196"/>
      <c r="B488" s="174"/>
      <c r="C488" s="200"/>
      <c r="D488" s="179"/>
      <c r="E488" s="179"/>
      <c r="F488" s="185"/>
      <c r="G488" s="186"/>
      <c r="H488" s="182"/>
      <c r="I488" s="193">
        <f t="shared" si="36"/>
        <v>0</v>
      </c>
      <c r="J488" s="192">
        <f t="shared" si="37"/>
        <v>0</v>
      </c>
      <c r="K488" s="173"/>
      <c r="L488" s="191">
        <f t="shared" si="35"/>
        <v>0</v>
      </c>
      <c r="M488" s="190">
        <f t="shared" si="38"/>
        <v>0</v>
      </c>
      <c r="N488" s="176"/>
      <c r="O488" s="176"/>
      <c r="P488" s="201"/>
      <c r="Q488" s="201"/>
      <c r="R488" s="309"/>
      <c r="S488" s="309"/>
    </row>
    <row r="489" spans="1:19" x14ac:dyDescent="0.25">
      <c r="A489" s="196"/>
      <c r="B489" s="174"/>
      <c r="C489" s="200"/>
      <c r="D489" s="179"/>
      <c r="E489" s="179"/>
      <c r="F489" s="185"/>
      <c r="G489" s="186"/>
      <c r="H489" s="182"/>
      <c r="I489" s="193">
        <f t="shared" si="36"/>
        <v>0</v>
      </c>
      <c r="J489" s="192">
        <f t="shared" si="37"/>
        <v>0</v>
      </c>
      <c r="K489" s="173"/>
      <c r="L489" s="191">
        <f t="shared" si="35"/>
        <v>0</v>
      </c>
      <c r="M489" s="190">
        <f t="shared" si="38"/>
        <v>0</v>
      </c>
      <c r="N489" s="176"/>
      <c r="O489" s="176"/>
      <c r="P489" s="201"/>
      <c r="Q489" s="201"/>
      <c r="R489" s="309"/>
      <c r="S489" s="309"/>
    </row>
    <row r="490" spans="1:19" x14ac:dyDescent="0.25">
      <c r="A490" s="196"/>
      <c r="B490" s="174"/>
      <c r="C490" s="200"/>
      <c r="D490" s="179"/>
      <c r="E490" s="179"/>
      <c r="F490" s="185"/>
      <c r="G490" s="186"/>
      <c r="H490" s="182"/>
      <c r="I490" s="193">
        <f t="shared" si="36"/>
        <v>0</v>
      </c>
      <c r="J490" s="192">
        <f t="shared" si="37"/>
        <v>0</v>
      </c>
      <c r="K490" s="173"/>
      <c r="L490" s="191">
        <f t="shared" si="35"/>
        <v>0</v>
      </c>
      <c r="M490" s="190">
        <f t="shared" si="38"/>
        <v>0</v>
      </c>
      <c r="N490" s="176"/>
      <c r="O490" s="176"/>
      <c r="P490" s="201"/>
      <c r="Q490" s="201"/>
      <c r="R490" s="309"/>
      <c r="S490" s="309"/>
    </row>
    <row r="491" spans="1:19" x14ac:dyDescent="0.25">
      <c r="A491" s="196"/>
      <c r="B491" s="174"/>
      <c r="C491" s="200"/>
      <c r="D491" s="179"/>
      <c r="E491" s="179"/>
      <c r="F491" s="185"/>
      <c r="G491" s="186"/>
      <c r="H491" s="182"/>
      <c r="I491" s="193">
        <f t="shared" si="36"/>
        <v>0</v>
      </c>
      <c r="J491" s="192">
        <f t="shared" si="37"/>
        <v>0</v>
      </c>
      <c r="K491" s="173"/>
      <c r="L491" s="191">
        <f t="shared" si="35"/>
        <v>0</v>
      </c>
      <c r="M491" s="190">
        <f t="shared" si="38"/>
        <v>0</v>
      </c>
      <c r="N491" s="176"/>
      <c r="O491" s="176"/>
      <c r="P491" s="201"/>
      <c r="Q491" s="201"/>
      <c r="R491" s="309"/>
      <c r="S491" s="309"/>
    </row>
    <row r="492" spans="1:19" x14ac:dyDescent="0.25">
      <c r="A492" s="196"/>
      <c r="B492" s="174"/>
      <c r="C492" s="200"/>
      <c r="D492" s="179"/>
      <c r="E492" s="179"/>
      <c r="F492" s="185"/>
      <c r="G492" s="186"/>
      <c r="H492" s="182"/>
      <c r="I492" s="193">
        <f t="shared" si="36"/>
        <v>0</v>
      </c>
      <c r="J492" s="192">
        <f t="shared" si="37"/>
        <v>0</v>
      </c>
      <c r="K492" s="173"/>
      <c r="L492" s="191">
        <f t="shared" si="35"/>
        <v>0</v>
      </c>
      <c r="M492" s="190">
        <f t="shared" si="38"/>
        <v>0</v>
      </c>
      <c r="N492" s="176"/>
      <c r="O492" s="176"/>
      <c r="P492" s="201"/>
      <c r="Q492" s="201"/>
      <c r="R492" s="309"/>
      <c r="S492" s="309"/>
    </row>
    <row r="493" spans="1:19" x14ac:dyDescent="0.25">
      <c r="A493" s="196"/>
      <c r="B493" s="174"/>
      <c r="C493" s="200"/>
      <c r="D493" s="179"/>
      <c r="E493" s="179"/>
      <c r="F493" s="185"/>
      <c r="G493" s="186"/>
      <c r="H493" s="182"/>
      <c r="I493" s="193">
        <f t="shared" si="36"/>
        <v>0</v>
      </c>
      <c r="J493" s="192">
        <f t="shared" si="37"/>
        <v>0</v>
      </c>
      <c r="K493" s="173"/>
      <c r="L493" s="191">
        <f t="shared" si="35"/>
        <v>0</v>
      </c>
      <c r="M493" s="190">
        <f t="shared" si="38"/>
        <v>0</v>
      </c>
      <c r="N493" s="176"/>
      <c r="O493" s="176"/>
      <c r="P493" s="201"/>
      <c r="Q493" s="201"/>
      <c r="R493" s="309"/>
      <c r="S493" s="309"/>
    </row>
    <row r="494" spans="1:19" x14ac:dyDescent="0.25">
      <c r="A494" s="196"/>
      <c r="B494" s="174"/>
      <c r="C494" s="200"/>
      <c r="D494" s="179"/>
      <c r="E494" s="179"/>
      <c r="F494" s="185"/>
      <c r="G494" s="186"/>
      <c r="H494" s="182"/>
      <c r="I494" s="193">
        <f t="shared" si="36"/>
        <v>0</v>
      </c>
      <c r="J494" s="192">
        <f t="shared" si="37"/>
        <v>0</v>
      </c>
      <c r="K494" s="173"/>
      <c r="L494" s="191">
        <f t="shared" si="35"/>
        <v>0</v>
      </c>
      <c r="M494" s="190">
        <f t="shared" si="38"/>
        <v>0</v>
      </c>
      <c r="N494" s="176"/>
      <c r="O494" s="176"/>
      <c r="P494" s="201"/>
      <c r="Q494" s="201"/>
      <c r="R494" s="309"/>
      <c r="S494" s="309"/>
    </row>
    <row r="495" spans="1:19" x14ac:dyDescent="0.25">
      <c r="A495" s="196"/>
      <c r="B495" s="174"/>
      <c r="C495" s="200"/>
      <c r="D495" s="179"/>
      <c r="E495" s="179"/>
      <c r="F495" s="185"/>
      <c r="G495" s="186"/>
      <c r="H495" s="182"/>
      <c r="I495" s="193">
        <f t="shared" si="36"/>
        <v>0</v>
      </c>
      <c r="J495" s="192">
        <f t="shared" si="37"/>
        <v>0</v>
      </c>
      <c r="K495" s="173"/>
      <c r="L495" s="191">
        <f t="shared" si="35"/>
        <v>0</v>
      </c>
      <c r="M495" s="190">
        <f t="shared" si="38"/>
        <v>0</v>
      </c>
      <c r="N495" s="176"/>
      <c r="O495" s="176"/>
      <c r="P495" s="201"/>
      <c r="Q495" s="201"/>
      <c r="R495" s="309"/>
      <c r="S495" s="309"/>
    </row>
    <row r="496" spans="1:19" x14ac:dyDescent="0.25">
      <c r="A496" s="196"/>
      <c r="B496" s="174"/>
      <c r="C496" s="200"/>
      <c r="D496" s="179"/>
      <c r="E496" s="179"/>
      <c r="F496" s="185"/>
      <c r="G496" s="186"/>
      <c r="H496" s="182"/>
      <c r="I496" s="193">
        <f t="shared" si="36"/>
        <v>0</v>
      </c>
      <c r="J496" s="192">
        <f t="shared" si="37"/>
        <v>0</v>
      </c>
      <c r="K496" s="173"/>
      <c r="L496" s="191">
        <f t="shared" si="35"/>
        <v>0</v>
      </c>
      <c r="M496" s="190">
        <f t="shared" si="38"/>
        <v>0</v>
      </c>
      <c r="N496" s="176"/>
      <c r="O496" s="176"/>
      <c r="P496" s="201"/>
      <c r="Q496" s="201"/>
      <c r="R496" s="309"/>
      <c r="S496" s="309"/>
    </row>
    <row r="497" spans="1:19" x14ac:dyDescent="0.25">
      <c r="A497" s="196"/>
      <c r="B497" s="174"/>
      <c r="C497" s="200"/>
      <c r="D497" s="179"/>
      <c r="E497" s="179"/>
      <c r="F497" s="185"/>
      <c r="G497" s="186"/>
      <c r="H497" s="182"/>
      <c r="I497" s="193">
        <f t="shared" si="36"/>
        <v>0</v>
      </c>
      <c r="J497" s="192">
        <f t="shared" si="37"/>
        <v>0</v>
      </c>
      <c r="K497" s="173"/>
      <c r="L497" s="191">
        <f t="shared" si="35"/>
        <v>0</v>
      </c>
      <c r="M497" s="190">
        <f t="shared" si="38"/>
        <v>0</v>
      </c>
      <c r="N497" s="176"/>
      <c r="O497" s="176"/>
      <c r="P497" s="201"/>
      <c r="Q497" s="201"/>
      <c r="R497" s="309"/>
      <c r="S497" s="309"/>
    </row>
    <row r="498" spans="1:19" x14ac:dyDescent="0.25">
      <c r="A498" s="196"/>
      <c r="B498" s="174"/>
      <c r="C498" s="200"/>
      <c r="D498" s="179"/>
      <c r="E498" s="179"/>
      <c r="F498" s="185"/>
      <c r="G498" s="186"/>
      <c r="H498" s="182"/>
      <c r="I498" s="193">
        <f t="shared" si="36"/>
        <v>0</v>
      </c>
      <c r="J498" s="192">
        <f t="shared" si="37"/>
        <v>0</v>
      </c>
      <c r="K498" s="173"/>
      <c r="L498" s="191">
        <f t="shared" si="35"/>
        <v>0</v>
      </c>
      <c r="M498" s="190">
        <f t="shared" si="38"/>
        <v>0</v>
      </c>
      <c r="N498" s="176"/>
      <c r="O498" s="176"/>
      <c r="P498" s="201"/>
      <c r="Q498" s="201"/>
      <c r="R498" s="309"/>
      <c r="S498" s="309"/>
    </row>
    <row r="499" spans="1:19" x14ac:dyDescent="0.25">
      <c r="A499" s="196"/>
      <c r="B499" s="174"/>
      <c r="C499" s="200"/>
      <c r="D499" s="179"/>
      <c r="E499" s="179"/>
      <c r="F499" s="185"/>
      <c r="G499" s="186"/>
      <c r="H499" s="182"/>
      <c r="I499" s="193">
        <f t="shared" si="36"/>
        <v>0</v>
      </c>
      <c r="J499" s="192">
        <f t="shared" si="37"/>
        <v>0</v>
      </c>
      <c r="K499" s="173"/>
      <c r="L499" s="191">
        <f t="shared" si="35"/>
        <v>0</v>
      </c>
      <c r="M499" s="190">
        <f t="shared" si="38"/>
        <v>0</v>
      </c>
      <c r="N499" s="176"/>
      <c r="O499" s="176"/>
      <c r="P499" s="201"/>
      <c r="Q499" s="201"/>
      <c r="R499" s="309"/>
      <c r="S499" s="309"/>
    </row>
    <row r="500" spans="1:19" x14ac:dyDescent="0.25">
      <c r="A500" s="196"/>
      <c r="B500" s="174"/>
      <c r="C500" s="200"/>
      <c r="D500" s="179"/>
      <c r="E500" s="179"/>
      <c r="F500" s="185"/>
      <c r="G500" s="186"/>
      <c r="H500" s="182"/>
      <c r="I500" s="193">
        <f t="shared" si="36"/>
        <v>0</v>
      </c>
      <c r="J500" s="192">
        <f t="shared" si="37"/>
        <v>0</v>
      </c>
      <c r="K500" s="173"/>
      <c r="L500" s="191">
        <f t="shared" si="35"/>
        <v>0</v>
      </c>
      <c r="M500" s="190">
        <f t="shared" si="38"/>
        <v>0</v>
      </c>
      <c r="N500" s="176"/>
      <c r="O500" s="176"/>
      <c r="P500" s="201"/>
      <c r="Q500" s="201"/>
      <c r="R500" s="309"/>
      <c r="S500" s="309"/>
    </row>
    <row r="501" spans="1:19" x14ac:dyDescent="0.25">
      <c r="A501" s="196"/>
      <c r="B501" s="174"/>
      <c r="C501" s="200"/>
      <c r="D501" s="179"/>
      <c r="E501" s="179"/>
      <c r="F501" s="185"/>
      <c r="G501" s="186"/>
      <c r="H501" s="182"/>
      <c r="I501" s="193">
        <f t="shared" si="36"/>
        <v>0</v>
      </c>
      <c r="J501" s="192">
        <f t="shared" si="37"/>
        <v>0</v>
      </c>
      <c r="K501" s="173"/>
      <c r="L501" s="191">
        <f t="shared" si="35"/>
        <v>0</v>
      </c>
      <c r="M501" s="190">
        <f t="shared" si="38"/>
        <v>0</v>
      </c>
      <c r="N501" s="176"/>
      <c r="O501" s="176"/>
      <c r="P501" s="201"/>
      <c r="Q501" s="201"/>
      <c r="R501" s="309"/>
      <c r="S501" s="309"/>
    </row>
    <row r="502" spans="1:19" x14ac:dyDescent="0.25">
      <c r="A502" s="196"/>
      <c r="B502" s="174"/>
      <c r="C502" s="200"/>
      <c r="D502" s="179"/>
      <c r="E502" s="179"/>
      <c r="F502" s="185"/>
      <c r="G502" s="186"/>
      <c r="H502" s="182"/>
      <c r="I502" s="193">
        <f t="shared" si="36"/>
        <v>0</v>
      </c>
      <c r="J502" s="192">
        <f t="shared" si="37"/>
        <v>0</v>
      </c>
      <c r="K502" s="173"/>
      <c r="L502" s="191">
        <f t="shared" si="35"/>
        <v>0</v>
      </c>
      <c r="M502" s="190">
        <f t="shared" si="38"/>
        <v>0</v>
      </c>
      <c r="N502" s="176"/>
      <c r="O502" s="176"/>
      <c r="P502" s="201"/>
      <c r="Q502" s="201"/>
      <c r="R502" s="309"/>
      <c r="S502" s="309"/>
    </row>
    <row r="503" spans="1:19" x14ac:dyDescent="0.25">
      <c r="A503" s="196"/>
      <c r="B503" s="174"/>
      <c r="C503" s="200"/>
      <c r="D503" s="179"/>
      <c r="E503" s="179"/>
      <c r="F503" s="185"/>
      <c r="G503" s="186"/>
      <c r="H503" s="182"/>
      <c r="I503" s="193">
        <f t="shared" si="36"/>
        <v>0</v>
      </c>
      <c r="J503" s="192">
        <f t="shared" si="37"/>
        <v>0</v>
      </c>
      <c r="K503" s="173"/>
      <c r="L503" s="191">
        <f t="shared" si="35"/>
        <v>0</v>
      </c>
      <c r="M503" s="190">
        <f t="shared" si="38"/>
        <v>0</v>
      </c>
      <c r="N503" s="176"/>
      <c r="O503" s="176"/>
      <c r="P503" s="201"/>
      <c r="Q503" s="201"/>
      <c r="R503" s="309"/>
      <c r="S503" s="309"/>
    </row>
    <row r="504" spans="1:19" x14ac:dyDescent="0.25">
      <c r="A504" s="196"/>
      <c r="B504" s="174"/>
      <c r="C504" s="200"/>
      <c r="D504" s="179"/>
      <c r="E504" s="179"/>
      <c r="F504" s="185"/>
      <c r="G504" s="186"/>
      <c r="H504" s="182"/>
      <c r="I504" s="193">
        <f t="shared" si="36"/>
        <v>0</v>
      </c>
      <c r="J504" s="192">
        <f t="shared" si="37"/>
        <v>0</v>
      </c>
      <c r="K504" s="173"/>
      <c r="L504" s="191">
        <f t="shared" si="35"/>
        <v>0</v>
      </c>
      <c r="M504" s="190">
        <f t="shared" si="38"/>
        <v>0</v>
      </c>
      <c r="N504" s="176"/>
      <c r="O504" s="176"/>
      <c r="P504" s="201"/>
      <c r="Q504" s="201"/>
      <c r="R504" s="309"/>
      <c r="S504" s="309"/>
    </row>
    <row r="505" spans="1:19" x14ac:dyDescent="0.25">
      <c r="A505" s="196"/>
      <c r="B505" s="174"/>
      <c r="C505" s="200"/>
      <c r="D505" s="179"/>
      <c r="E505" s="179"/>
      <c r="F505" s="185"/>
      <c r="G505" s="186"/>
      <c r="H505" s="182"/>
      <c r="I505" s="193">
        <f t="shared" si="36"/>
        <v>0</v>
      </c>
      <c r="J505" s="192">
        <f t="shared" si="37"/>
        <v>0</v>
      </c>
      <c r="K505" s="173"/>
      <c r="L505" s="191">
        <f t="shared" si="35"/>
        <v>0</v>
      </c>
      <c r="M505" s="190">
        <f t="shared" si="38"/>
        <v>0</v>
      </c>
      <c r="N505" s="176"/>
      <c r="O505" s="176"/>
      <c r="P505" s="201"/>
      <c r="Q505" s="201"/>
      <c r="R505" s="309"/>
      <c r="S505" s="309"/>
    </row>
    <row r="506" spans="1:19" x14ac:dyDescent="0.25">
      <c r="A506" s="196"/>
      <c r="B506" s="174"/>
      <c r="C506" s="200"/>
      <c r="D506" s="179"/>
      <c r="E506" s="179"/>
      <c r="F506" s="185"/>
      <c r="G506" s="186"/>
      <c r="H506" s="182"/>
      <c r="I506" s="193">
        <f t="shared" si="36"/>
        <v>0</v>
      </c>
      <c r="J506" s="192">
        <f t="shared" si="37"/>
        <v>0</v>
      </c>
      <c r="K506" s="173"/>
      <c r="L506" s="191">
        <f t="shared" si="35"/>
        <v>0</v>
      </c>
      <c r="M506" s="190">
        <f t="shared" si="38"/>
        <v>0</v>
      </c>
      <c r="N506" s="176"/>
      <c r="O506" s="176"/>
      <c r="P506" s="201"/>
      <c r="Q506" s="201"/>
      <c r="R506" s="309"/>
      <c r="S506" s="309"/>
    </row>
    <row r="507" spans="1:19" x14ac:dyDescent="0.25">
      <c r="A507" s="196"/>
      <c r="B507" s="174"/>
      <c r="C507" s="200"/>
      <c r="D507" s="179"/>
      <c r="E507" s="179"/>
      <c r="F507" s="185"/>
      <c r="G507" s="186"/>
      <c r="H507" s="182"/>
      <c r="I507" s="193">
        <f t="shared" si="36"/>
        <v>0</v>
      </c>
      <c r="J507" s="192">
        <f t="shared" si="37"/>
        <v>0</v>
      </c>
      <c r="K507" s="173"/>
      <c r="L507" s="191">
        <f t="shared" si="35"/>
        <v>0</v>
      </c>
      <c r="M507" s="190">
        <f t="shared" si="38"/>
        <v>0</v>
      </c>
      <c r="N507" s="176"/>
      <c r="O507" s="176"/>
      <c r="P507" s="201"/>
      <c r="Q507" s="201"/>
      <c r="R507" s="309"/>
      <c r="S507" s="309"/>
    </row>
    <row r="508" spans="1:19" x14ac:dyDescent="0.25">
      <c r="A508" s="196"/>
      <c r="B508" s="174"/>
      <c r="C508" s="200"/>
      <c r="D508" s="179"/>
      <c r="E508" s="179"/>
      <c r="F508" s="185"/>
      <c r="G508" s="186"/>
      <c r="H508" s="182"/>
      <c r="I508" s="193">
        <f t="shared" si="36"/>
        <v>0</v>
      </c>
      <c r="J508" s="192">
        <f t="shared" si="37"/>
        <v>0</v>
      </c>
      <c r="K508" s="173"/>
      <c r="L508" s="191">
        <f t="shared" si="35"/>
        <v>0</v>
      </c>
      <c r="M508" s="190">
        <f t="shared" si="38"/>
        <v>0</v>
      </c>
      <c r="N508" s="176"/>
      <c r="O508" s="176"/>
      <c r="P508" s="201"/>
      <c r="Q508" s="201"/>
      <c r="R508" s="309"/>
      <c r="S508" s="309"/>
    </row>
    <row r="509" spans="1:19" x14ac:dyDescent="0.25">
      <c r="A509" s="196"/>
      <c r="B509" s="174"/>
      <c r="C509" s="200"/>
      <c r="D509" s="179"/>
      <c r="E509" s="179"/>
      <c r="F509" s="185"/>
      <c r="G509" s="186"/>
      <c r="H509" s="182"/>
      <c r="I509" s="193">
        <f t="shared" si="36"/>
        <v>0</v>
      </c>
      <c r="J509" s="192">
        <f t="shared" si="37"/>
        <v>0</v>
      </c>
      <c r="K509" s="173"/>
      <c r="L509" s="191">
        <f t="shared" si="35"/>
        <v>0</v>
      </c>
      <c r="M509" s="190">
        <f t="shared" si="38"/>
        <v>0</v>
      </c>
      <c r="N509" s="176"/>
      <c r="O509" s="176"/>
      <c r="P509" s="201"/>
      <c r="Q509" s="201"/>
      <c r="R509" s="309"/>
      <c r="S509" s="309"/>
    </row>
    <row r="510" spans="1:19" x14ac:dyDescent="0.25">
      <c r="A510" s="196"/>
      <c r="B510" s="174"/>
      <c r="C510" s="200"/>
      <c r="D510" s="179"/>
      <c r="E510" s="179"/>
      <c r="F510" s="185"/>
      <c r="G510" s="186"/>
      <c r="H510" s="182"/>
      <c r="I510" s="193">
        <f t="shared" si="36"/>
        <v>0</v>
      </c>
      <c r="J510" s="192">
        <f t="shared" si="37"/>
        <v>0</v>
      </c>
      <c r="K510" s="173"/>
      <c r="L510" s="191">
        <f t="shared" si="35"/>
        <v>0</v>
      </c>
      <c r="M510" s="190">
        <f t="shared" si="38"/>
        <v>0</v>
      </c>
      <c r="N510" s="176"/>
      <c r="O510" s="176"/>
      <c r="P510" s="201"/>
      <c r="Q510" s="201"/>
      <c r="R510" s="309"/>
      <c r="S510" s="309"/>
    </row>
    <row r="511" spans="1:19" x14ac:dyDescent="0.25">
      <c r="A511" s="196"/>
      <c r="B511" s="174"/>
      <c r="C511" s="200"/>
      <c r="D511" s="179"/>
      <c r="E511" s="179"/>
      <c r="F511" s="185"/>
      <c r="G511" s="186"/>
      <c r="H511" s="182"/>
      <c r="I511" s="193">
        <f t="shared" si="36"/>
        <v>0</v>
      </c>
      <c r="J511" s="192">
        <f t="shared" si="37"/>
        <v>0</v>
      </c>
      <c r="K511" s="173"/>
      <c r="L511" s="191">
        <f t="shared" si="35"/>
        <v>0</v>
      </c>
      <c r="M511" s="190">
        <f t="shared" si="38"/>
        <v>0</v>
      </c>
      <c r="N511" s="176"/>
      <c r="O511" s="176"/>
      <c r="P511" s="201"/>
      <c r="Q511" s="201"/>
      <c r="R511" s="309"/>
      <c r="S511" s="309"/>
    </row>
    <row r="512" spans="1:19" x14ac:dyDescent="0.25">
      <c r="A512" s="196"/>
      <c r="B512" s="174"/>
      <c r="C512" s="200"/>
      <c r="D512" s="179"/>
      <c r="E512" s="179"/>
      <c r="F512" s="185"/>
      <c r="G512" s="186"/>
      <c r="H512" s="182"/>
      <c r="I512" s="193">
        <f t="shared" si="36"/>
        <v>0</v>
      </c>
      <c r="J512" s="192">
        <f t="shared" si="37"/>
        <v>0</v>
      </c>
      <c r="K512" s="173"/>
      <c r="L512" s="191">
        <f t="shared" si="35"/>
        <v>0</v>
      </c>
      <c r="M512" s="190">
        <f t="shared" si="38"/>
        <v>0</v>
      </c>
      <c r="N512" s="176"/>
      <c r="O512" s="176"/>
      <c r="P512" s="201"/>
      <c r="Q512" s="201"/>
      <c r="R512" s="309"/>
      <c r="S512" s="309"/>
    </row>
    <row r="513" spans="1:19" x14ac:dyDescent="0.25">
      <c r="A513" s="196"/>
      <c r="B513" s="174"/>
      <c r="C513" s="200"/>
      <c r="D513" s="179"/>
      <c r="E513" s="179"/>
      <c r="F513" s="185"/>
      <c r="G513" s="186"/>
      <c r="H513" s="182"/>
      <c r="I513" s="193">
        <f t="shared" si="36"/>
        <v>0</v>
      </c>
      <c r="J513" s="192">
        <f t="shared" si="37"/>
        <v>0</v>
      </c>
      <c r="K513" s="173"/>
      <c r="L513" s="191">
        <f t="shared" si="35"/>
        <v>0</v>
      </c>
      <c r="M513" s="190">
        <f t="shared" si="38"/>
        <v>0</v>
      </c>
      <c r="N513" s="176"/>
      <c r="O513" s="176"/>
      <c r="P513" s="201"/>
      <c r="Q513" s="201"/>
      <c r="R513" s="309"/>
      <c r="S513" s="309"/>
    </row>
    <row r="514" spans="1:19" x14ac:dyDescent="0.25">
      <c r="A514" s="196"/>
      <c r="B514" s="174"/>
      <c r="C514" s="200"/>
      <c r="D514" s="179"/>
      <c r="E514" s="179"/>
      <c r="F514" s="185"/>
      <c r="G514" s="186"/>
      <c r="H514" s="182"/>
      <c r="I514" s="193">
        <f t="shared" si="36"/>
        <v>0</v>
      </c>
      <c r="J514" s="192">
        <f t="shared" si="37"/>
        <v>0</v>
      </c>
      <c r="K514" s="173"/>
      <c r="L514" s="191">
        <f t="shared" si="35"/>
        <v>0</v>
      </c>
      <c r="M514" s="190">
        <f t="shared" si="38"/>
        <v>0</v>
      </c>
      <c r="N514" s="176"/>
      <c r="O514" s="176"/>
      <c r="P514" s="201"/>
      <c r="Q514" s="201"/>
      <c r="R514" s="309"/>
      <c r="S514" s="309"/>
    </row>
    <row r="515" spans="1:19" x14ac:dyDescent="0.25">
      <c r="A515" s="196"/>
      <c r="B515" s="174"/>
      <c r="C515" s="200"/>
      <c r="D515" s="179"/>
      <c r="E515" s="179"/>
      <c r="F515" s="185"/>
      <c r="G515" s="186"/>
      <c r="H515" s="182"/>
      <c r="I515" s="193">
        <f t="shared" si="36"/>
        <v>0</v>
      </c>
      <c r="J515" s="192">
        <f t="shared" si="37"/>
        <v>0</v>
      </c>
      <c r="K515" s="173"/>
      <c r="L515" s="191">
        <f t="shared" si="35"/>
        <v>0</v>
      </c>
      <c r="M515" s="190">
        <f t="shared" si="38"/>
        <v>0</v>
      </c>
      <c r="N515" s="176"/>
      <c r="O515" s="176"/>
      <c r="P515" s="201"/>
      <c r="Q515" s="201"/>
      <c r="R515" s="309"/>
      <c r="S515" s="309"/>
    </row>
    <row r="516" spans="1:19" x14ac:dyDescent="0.25">
      <c r="A516" s="196"/>
      <c r="B516" s="174"/>
      <c r="C516" s="200"/>
      <c r="D516" s="179"/>
      <c r="E516" s="179"/>
      <c r="F516" s="185"/>
      <c r="G516" s="186"/>
      <c r="H516" s="182"/>
      <c r="I516" s="193">
        <f t="shared" si="36"/>
        <v>0</v>
      </c>
      <c r="J516" s="192">
        <f t="shared" si="37"/>
        <v>0</v>
      </c>
      <c r="K516" s="173"/>
      <c r="L516" s="191">
        <f t="shared" ref="L516:L543" si="39">K516*I516</f>
        <v>0</v>
      </c>
      <c r="M516" s="190">
        <f t="shared" si="38"/>
        <v>0</v>
      </c>
      <c r="N516" s="176"/>
      <c r="O516" s="176"/>
      <c r="P516" s="201"/>
      <c r="Q516" s="201"/>
      <c r="R516" s="309"/>
      <c r="S516" s="309"/>
    </row>
    <row r="517" spans="1:19" x14ac:dyDescent="0.25">
      <c r="A517" s="196"/>
      <c r="B517" s="174"/>
      <c r="C517" s="200"/>
      <c r="D517" s="179"/>
      <c r="E517" s="179"/>
      <c r="F517" s="185"/>
      <c r="G517" s="186"/>
      <c r="H517" s="182"/>
      <c r="I517" s="193">
        <f t="shared" ref="I517:I543" si="40">F517*G517</f>
        <v>0</v>
      </c>
      <c r="J517" s="192">
        <f t="shared" si="37"/>
        <v>0</v>
      </c>
      <c r="K517" s="173"/>
      <c r="L517" s="191">
        <f t="shared" si="39"/>
        <v>0</v>
      </c>
      <c r="M517" s="190">
        <f t="shared" si="38"/>
        <v>0</v>
      </c>
      <c r="N517" s="176"/>
      <c r="O517" s="176"/>
      <c r="P517" s="201"/>
      <c r="Q517" s="201"/>
      <c r="R517" s="309"/>
      <c r="S517" s="309"/>
    </row>
    <row r="518" spans="1:19" x14ac:dyDescent="0.25">
      <c r="A518" s="196"/>
      <c r="B518" s="174"/>
      <c r="C518" s="200"/>
      <c r="D518" s="179"/>
      <c r="E518" s="179"/>
      <c r="F518" s="185"/>
      <c r="G518" s="186"/>
      <c r="H518" s="182"/>
      <c r="I518" s="193">
        <f t="shared" si="40"/>
        <v>0</v>
      </c>
      <c r="J518" s="192">
        <f t="shared" ref="J518:J543" si="41">F518*H518</f>
        <v>0</v>
      </c>
      <c r="K518" s="173"/>
      <c r="L518" s="191">
        <f t="shared" si="39"/>
        <v>0</v>
      </c>
      <c r="M518" s="190">
        <f t="shared" ref="M518:M543" si="42">K518*J518</f>
        <v>0</v>
      </c>
      <c r="N518" s="176"/>
      <c r="O518" s="176"/>
      <c r="P518" s="201"/>
      <c r="Q518" s="201"/>
      <c r="R518" s="309"/>
      <c r="S518" s="309"/>
    </row>
    <row r="519" spans="1:19" x14ac:dyDescent="0.25">
      <c r="A519" s="196"/>
      <c r="B519" s="174"/>
      <c r="C519" s="200"/>
      <c r="D519" s="179"/>
      <c r="E519" s="179"/>
      <c r="F519" s="185"/>
      <c r="G519" s="186"/>
      <c r="H519" s="182"/>
      <c r="I519" s="193">
        <f t="shared" si="40"/>
        <v>0</v>
      </c>
      <c r="J519" s="192">
        <f t="shared" si="41"/>
        <v>0</v>
      </c>
      <c r="K519" s="173"/>
      <c r="L519" s="191">
        <f t="shared" si="39"/>
        <v>0</v>
      </c>
      <c r="M519" s="190">
        <f t="shared" si="42"/>
        <v>0</v>
      </c>
      <c r="N519" s="176"/>
      <c r="O519" s="176"/>
      <c r="P519" s="201"/>
      <c r="Q519" s="201"/>
      <c r="R519" s="309"/>
      <c r="S519" s="309"/>
    </row>
    <row r="520" spans="1:19" x14ac:dyDescent="0.25">
      <c r="A520" s="196"/>
      <c r="B520" s="174"/>
      <c r="C520" s="200"/>
      <c r="D520" s="179"/>
      <c r="E520" s="179"/>
      <c r="F520" s="185"/>
      <c r="G520" s="186"/>
      <c r="H520" s="182"/>
      <c r="I520" s="193">
        <f t="shared" si="40"/>
        <v>0</v>
      </c>
      <c r="J520" s="192">
        <f t="shared" si="41"/>
        <v>0</v>
      </c>
      <c r="K520" s="173"/>
      <c r="L520" s="191">
        <f t="shared" si="39"/>
        <v>0</v>
      </c>
      <c r="M520" s="190">
        <f t="shared" si="42"/>
        <v>0</v>
      </c>
      <c r="N520" s="176"/>
      <c r="O520" s="176"/>
      <c r="P520" s="201"/>
      <c r="Q520" s="201"/>
      <c r="R520" s="309"/>
      <c r="S520" s="309"/>
    </row>
    <row r="521" spans="1:19" x14ac:dyDescent="0.25">
      <c r="A521" s="196"/>
      <c r="B521" s="174"/>
      <c r="C521" s="200"/>
      <c r="D521" s="179"/>
      <c r="E521" s="179"/>
      <c r="F521" s="185"/>
      <c r="G521" s="186"/>
      <c r="H521" s="182"/>
      <c r="I521" s="193">
        <f t="shared" si="40"/>
        <v>0</v>
      </c>
      <c r="J521" s="192">
        <f t="shared" si="41"/>
        <v>0</v>
      </c>
      <c r="K521" s="173"/>
      <c r="L521" s="191">
        <f t="shared" si="39"/>
        <v>0</v>
      </c>
      <c r="M521" s="190">
        <f t="shared" si="42"/>
        <v>0</v>
      </c>
      <c r="N521" s="176"/>
      <c r="O521" s="176"/>
      <c r="P521" s="201"/>
      <c r="Q521" s="201"/>
      <c r="R521" s="309"/>
      <c r="S521" s="309"/>
    </row>
    <row r="522" spans="1:19" x14ac:dyDescent="0.25">
      <c r="A522" s="196"/>
      <c r="B522" s="174"/>
      <c r="C522" s="200"/>
      <c r="D522" s="179"/>
      <c r="E522" s="179"/>
      <c r="F522" s="185"/>
      <c r="G522" s="186"/>
      <c r="H522" s="182"/>
      <c r="I522" s="193">
        <f t="shared" si="40"/>
        <v>0</v>
      </c>
      <c r="J522" s="192">
        <f t="shared" si="41"/>
        <v>0</v>
      </c>
      <c r="K522" s="173"/>
      <c r="L522" s="191">
        <f t="shared" si="39"/>
        <v>0</v>
      </c>
      <c r="M522" s="190">
        <f t="shared" si="42"/>
        <v>0</v>
      </c>
      <c r="N522" s="176"/>
      <c r="O522" s="176"/>
      <c r="P522" s="201"/>
      <c r="Q522" s="201"/>
      <c r="R522" s="309"/>
      <c r="S522" s="309"/>
    </row>
    <row r="523" spans="1:19" x14ac:dyDescent="0.25">
      <c r="A523" s="196"/>
      <c r="B523" s="174"/>
      <c r="C523" s="200"/>
      <c r="D523" s="179"/>
      <c r="E523" s="179"/>
      <c r="F523" s="185"/>
      <c r="G523" s="186"/>
      <c r="H523" s="182"/>
      <c r="I523" s="193">
        <f t="shared" si="40"/>
        <v>0</v>
      </c>
      <c r="J523" s="192">
        <f t="shared" si="41"/>
        <v>0</v>
      </c>
      <c r="K523" s="173"/>
      <c r="L523" s="191">
        <f t="shared" si="39"/>
        <v>0</v>
      </c>
      <c r="M523" s="190">
        <f t="shared" si="42"/>
        <v>0</v>
      </c>
      <c r="N523" s="176"/>
      <c r="O523" s="176"/>
      <c r="P523" s="201"/>
      <c r="Q523" s="201"/>
      <c r="R523" s="309"/>
      <c r="S523" s="309"/>
    </row>
    <row r="524" spans="1:19" x14ac:dyDescent="0.25">
      <c r="A524" s="196"/>
      <c r="B524" s="174"/>
      <c r="C524" s="200"/>
      <c r="D524" s="179"/>
      <c r="E524" s="179"/>
      <c r="F524" s="185"/>
      <c r="G524" s="186"/>
      <c r="H524" s="182"/>
      <c r="I524" s="193">
        <f t="shared" si="40"/>
        <v>0</v>
      </c>
      <c r="J524" s="192">
        <f t="shared" si="41"/>
        <v>0</v>
      </c>
      <c r="K524" s="173"/>
      <c r="L524" s="191">
        <f t="shared" si="39"/>
        <v>0</v>
      </c>
      <c r="M524" s="190">
        <f t="shared" si="42"/>
        <v>0</v>
      </c>
      <c r="N524" s="176"/>
      <c r="O524" s="176"/>
      <c r="P524" s="201"/>
      <c r="Q524" s="201"/>
      <c r="R524" s="309"/>
      <c r="S524" s="309"/>
    </row>
    <row r="525" spans="1:19" x14ac:dyDescent="0.25">
      <c r="A525" s="196"/>
      <c r="B525" s="174"/>
      <c r="C525" s="200"/>
      <c r="D525" s="179"/>
      <c r="E525" s="179"/>
      <c r="F525" s="185"/>
      <c r="G525" s="186"/>
      <c r="H525" s="182"/>
      <c r="I525" s="193">
        <f t="shared" si="40"/>
        <v>0</v>
      </c>
      <c r="J525" s="192">
        <f t="shared" si="41"/>
        <v>0</v>
      </c>
      <c r="K525" s="173"/>
      <c r="L525" s="191">
        <f t="shared" si="39"/>
        <v>0</v>
      </c>
      <c r="M525" s="190">
        <f t="shared" si="42"/>
        <v>0</v>
      </c>
      <c r="N525" s="176"/>
      <c r="O525" s="176"/>
      <c r="P525" s="201"/>
      <c r="Q525" s="201"/>
      <c r="R525" s="309"/>
      <c r="S525" s="309"/>
    </row>
    <row r="526" spans="1:19" x14ac:dyDescent="0.25">
      <c r="A526" s="196"/>
      <c r="B526" s="174"/>
      <c r="C526" s="200"/>
      <c r="D526" s="179"/>
      <c r="E526" s="179"/>
      <c r="F526" s="185"/>
      <c r="G526" s="186"/>
      <c r="H526" s="182"/>
      <c r="I526" s="193">
        <f t="shared" si="40"/>
        <v>0</v>
      </c>
      <c r="J526" s="192">
        <f t="shared" si="41"/>
        <v>0</v>
      </c>
      <c r="K526" s="173"/>
      <c r="L526" s="191">
        <f t="shared" si="39"/>
        <v>0</v>
      </c>
      <c r="M526" s="190">
        <f t="shared" si="42"/>
        <v>0</v>
      </c>
      <c r="N526" s="176"/>
      <c r="O526" s="176"/>
      <c r="P526" s="201"/>
      <c r="Q526" s="201"/>
      <c r="R526" s="309"/>
      <c r="S526" s="309"/>
    </row>
    <row r="527" spans="1:19" x14ac:dyDescent="0.25">
      <c r="A527" s="196"/>
      <c r="B527" s="174"/>
      <c r="C527" s="200"/>
      <c r="D527" s="179"/>
      <c r="E527" s="179"/>
      <c r="F527" s="185"/>
      <c r="G527" s="186"/>
      <c r="H527" s="182"/>
      <c r="I527" s="193">
        <f t="shared" si="40"/>
        <v>0</v>
      </c>
      <c r="J527" s="192">
        <f t="shared" si="41"/>
        <v>0</v>
      </c>
      <c r="K527" s="173"/>
      <c r="L527" s="191">
        <f t="shared" si="39"/>
        <v>0</v>
      </c>
      <c r="M527" s="190">
        <f t="shared" si="42"/>
        <v>0</v>
      </c>
      <c r="N527" s="176"/>
      <c r="O527" s="176"/>
      <c r="P527" s="201"/>
      <c r="Q527" s="201"/>
      <c r="R527" s="309"/>
      <c r="S527" s="309"/>
    </row>
    <row r="528" spans="1:19" x14ac:dyDescent="0.25">
      <c r="A528" s="196"/>
      <c r="B528" s="174"/>
      <c r="C528" s="200"/>
      <c r="D528" s="179"/>
      <c r="E528" s="179"/>
      <c r="F528" s="185"/>
      <c r="G528" s="186"/>
      <c r="H528" s="182"/>
      <c r="I528" s="193">
        <f t="shared" si="40"/>
        <v>0</v>
      </c>
      <c r="J528" s="192">
        <f t="shared" si="41"/>
        <v>0</v>
      </c>
      <c r="K528" s="173"/>
      <c r="L528" s="191">
        <f t="shared" si="39"/>
        <v>0</v>
      </c>
      <c r="M528" s="190">
        <f t="shared" si="42"/>
        <v>0</v>
      </c>
      <c r="N528" s="176"/>
      <c r="O528" s="176"/>
      <c r="P528" s="201"/>
      <c r="Q528" s="201"/>
      <c r="R528" s="309"/>
      <c r="S528" s="309"/>
    </row>
    <row r="529" spans="1:19" x14ac:dyDescent="0.25">
      <c r="A529" s="196"/>
      <c r="B529" s="174"/>
      <c r="C529" s="200"/>
      <c r="D529" s="179"/>
      <c r="E529" s="179"/>
      <c r="F529" s="185"/>
      <c r="G529" s="186"/>
      <c r="H529" s="182"/>
      <c r="I529" s="193">
        <f t="shared" si="40"/>
        <v>0</v>
      </c>
      <c r="J529" s="192">
        <f t="shared" si="41"/>
        <v>0</v>
      </c>
      <c r="K529" s="173"/>
      <c r="L529" s="191">
        <f t="shared" si="39"/>
        <v>0</v>
      </c>
      <c r="M529" s="190">
        <f t="shared" si="42"/>
        <v>0</v>
      </c>
      <c r="N529" s="176"/>
      <c r="O529" s="176"/>
      <c r="P529" s="201"/>
      <c r="Q529" s="201"/>
      <c r="R529" s="309"/>
      <c r="S529" s="309"/>
    </row>
    <row r="530" spans="1:19" x14ac:dyDescent="0.25">
      <c r="A530" s="196"/>
      <c r="B530" s="174"/>
      <c r="C530" s="200"/>
      <c r="D530" s="179"/>
      <c r="E530" s="179"/>
      <c r="F530" s="185"/>
      <c r="G530" s="186"/>
      <c r="H530" s="182"/>
      <c r="I530" s="193">
        <f t="shared" si="40"/>
        <v>0</v>
      </c>
      <c r="J530" s="192">
        <f t="shared" si="41"/>
        <v>0</v>
      </c>
      <c r="K530" s="173"/>
      <c r="L530" s="191">
        <f t="shared" si="39"/>
        <v>0</v>
      </c>
      <c r="M530" s="190">
        <f t="shared" si="42"/>
        <v>0</v>
      </c>
      <c r="N530" s="176"/>
      <c r="O530" s="176"/>
      <c r="P530" s="201"/>
      <c r="Q530" s="201"/>
      <c r="R530" s="309"/>
      <c r="S530" s="309"/>
    </row>
    <row r="531" spans="1:19" x14ac:dyDescent="0.25">
      <c r="A531" s="196"/>
      <c r="B531" s="174"/>
      <c r="C531" s="200"/>
      <c r="D531" s="179"/>
      <c r="E531" s="179"/>
      <c r="F531" s="185"/>
      <c r="G531" s="186"/>
      <c r="H531" s="182"/>
      <c r="I531" s="193">
        <f t="shared" si="40"/>
        <v>0</v>
      </c>
      <c r="J531" s="192">
        <f t="shared" si="41"/>
        <v>0</v>
      </c>
      <c r="K531" s="173"/>
      <c r="L531" s="191">
        <f t="shared" si="39"/>
        <v>0</v>
      </c>
      <c r="M531" s="190">
        <f t="shared" si="42"/>
        <v>0</v>
      </c>
      <c r="N531" s="176"/>
      <c r="O531" s="176"/>
      <c r="P531" s="201"/>
      <c r="Q531" s="201"/>
      <c r="R531" s="309"/>
      <c r="S531" s="309"/>
    </row>
    <row r="532" spans="1:19" x14ac:dyDescent="0.25">
      <c r="A532" s="196"/>
      <c r="B532" s="174"/>
      <c r="C532" s="200"/>
      <c r="D532" s="179"/>
      <c r="E532" s="179"/>
      <c r="F532" s="185"/>
      <c r="G532" s="186"/>
      <c r="H532" s="182"/>
      <c r="I532" s="193">
        <f t="shared" si="40"/>
        <v>0</v>
      </c>
      <c r="J532" s="192">
        <f t="shared" si="41"/>
        <v>0</v>
      </c>
      <c r="K532" s="173"/>
      <c r="L532" s="191">
        <f t="shared" si="39"/>
        <v>0</v>
      </c>
      <c r="M532" s="190">
        <f t="shared" si="42"/>
        <v>0</v>
      </c>
      <c r="N532" s="176"/>
      <c r="O532" s="176"/>
      <c r="P532" s="201"/>
      <c r="Q532" s="201"/>
      <c r="R532" s="309"/>
      <c r="S532" s="309"/>
    </row>
    <row r="533" spans="1:19" x14ac:dyDescent="0.25">
      <c r="A533" s="196"/>
      <c r="B533" s="174"/>
      <c r="C533" s="200"/>
      <c r="D533" s="179"/>
      <c r="E533" s="179"/>
      <c r="F533" s="185"/>
      <c r="G533" s="186"/>
      <c r="H533" s="182"/>
      <c r="I533" s="193">
        <f t="shared" si="40"/>
        <v>0</v>
      </c>
      <c r="J533" s="192">
        <f t="shared" si="41"/>
        <v>0</v>
      </c>
      <c r="K533" s="173"/>
      <c r="L533" s="191">
        <f t="shared" si="39"/>
        <v>0</v>
      </c>
      <c r="M533" s="190">
        <f t="shared" si="42"/>
        <v>0</v>
      </c>
      <c r="N533" s="176"/>
      <c r="O533" s="176"/>
      <c r="P533" s="201"/>
      <c r="Q533" s="201"/>
      <c r="R533" s="309"/>
      <c r="S533" s="309"/>
    </row>
    <row r="534" spans="1:19" x14ac:dyDescent="0.25">
      <c r="A534" s="196"/>
      <c r="B534" s="174"/>
      <c r="C534" s="200"/>
      <c r="D534" s="179"/>
      <c r="E534" s="179"/>
      <c r="F534" s="185"/>
      <c r="G534" s="186"/>
      <c r="H534" s="182"/>
      <c r="I534" s="193">
        <f t="shared" si="40"/>
        <v>0</v>
      </c>
      <c r="J534" s="192">
        <f t="shared" si="41"/>
        <v>0</v>
      </c>
      <c r="K534" s="173"/>
      <c r="L534" s="191">
        <f t="shared" si="39"/>
        <v>0</v>
      </c>
      <c r="M534" s="190">
        <f t="shared" si="42"/>
        <v>0</v>
      </c>
      <c r="N534" s="176"/>
      <c r="O534" s="176"/>
      <c r="P534" s="201"/>
      <c r="Q534" s="201"/>
      <c r="R534" s="309"/>
      <c r="S534" s="309"/>
    </row>
    <row r="535" spans="1:19" x14ac:dyDescent="0.25">
      <c r="A535" s="196"/>
      <c r="B535" s="174"/>
      <c r="C535" s="200"/>
      <c r="D535" s="179"/>
      <c r="E535" s="179"/>
      <c r="F535" s="185"/>
      <c r="G535" s="186"/>
      <c r="H535" s="182"/>
      <c r="I535" s="193">
        <f t="shared" si="40"/>
        <v>0</v>
      </c>
      <c r="J535" s="192">
        <f t="shared" si="41"/>
        <v>0</v>
      </c>
      <c r="K535" s="173"/>
      <c r="L535" s="191">
        <f t="shared" si="39"/>
        <v>0</v>
      </c>
      <c r="M535" s="190">
        <f t="shared" si="42"/>
        <v>0</v>
      </c>
      <c r="N535" s="176"/>
      <c r="O535" s="176"/>
      <c r="P535" s="201"/>
      <c r="Q535" s="201"/>
      <c r="R535" s="309"/>
      <c r="S535" s="309"/>
    </row>
    <row r="536" spans="1:19" x14ac:dyDescent="0.25">
      <c r="A536" s="196"/>
      <c r="B536" s="174"/>
      <c r="C536" s="200"/>
      <c r="D536" s="179"/>
      <c r="E536" s="179"/>
      <c r="F536" s="185"/>
      <c r="G536" s="186"/>
      <c r="H536" s="182"/>
      <c r="I536" s="193">
        <f t="shared" si="40"/>
        <v>0</v>
      </c>
      <c r="J536" s="192">
        <f t="shared" si="41"/>
        <v>0</v>
      </c>
      <c r="K536" s="173"/>
      <c r="L536" s="191">
        <f t="shared" si="39"/>
        <v>0</v>
      </c>
      <c r="M536" s="190">
        <f t="shared" si="42"/>
        <v>0</v>
      </c>
      <c r="N536" s="176"/>
      <c r="O536" s="176"/>
      <c r="P536" s="201"/>
      <c r="Q536" s="201"/>
      <c r="R536" s="309"/>
      <c r="S536" s="309"/>
    </row>
    <row r="537" spans="1:19" x14ac:dyDescent="0.25">
      <c r="A537" s="196"/>
      <c r="B537" s="174"/>
      <c r="C537" s="200"/>
      <c r="D537" s="179"/>
      <c r="E537" s="179"/>
      <c r="F537" s="185"/>
      <c r="G537" s="186"/>
      <c r="H537" s="182"/>
      <c r="I537" s="193">
        <f t="shared" si="40"/>
        <v>0</v>
      </c>
      <c r="J537" s="192">
        <f t="shared" si="41"/>
        <v>0</v>
      </c>
      <c r="K537" s="173"/>
      <c r="L537" s="191">
        <f t="shared" si="39"/>
        <v>0</v>
      </c>
      <c r="M537" s="190">
        <f t="shared" si="42"/>
        <v>0</v>
      </c>
      <c r="N537" s="176"/>
      <c r="O537" s="176"/>
      <c r="P537" s="201"/>
      <c r="Q537" s="201"/>
      <c r="R537" s="309"/>
      <c r="S537" s="309"/>
    </row>
    <row r="538" spans="1:19" x14ac:dyDescent="0.25">
      <c r="A538" s="196"/>
      <c r="B538" s="174"/>
      <c r="C538" s="200"/>
      <c r="D538" s="179"/>
      <c r="E538" s="179"/>
      <c r="F538" s="185"/>
      <c r="G538" s="186"/>
      <c r="H538" s="182"/>
      <c r="I538" s="193">
        <f t="shared" si="40"/>
        <v>0</v>
      </c>
      <c r="J538" s="192">
        <f t="shared" si="41"/>
        <v>0</v>
      </c>
      <c r="K538" s="173"/>
      <c r="L538" s="191">
        <f t="shared" si="39"/>
        <v>0</v>
      </c>
      <c r="M538" s="190">
        <f t="shared" si="42"/>
        <v>0</v>
      </c>
      <c r="N538" s="176"/>
      <c r="O538" s="176"/>
      <c r="P538" s="201"/>
      <c r="Q538" s="201"/>
      <c r="R538" s="309"/>
      <c r="S538" s="309"/>
    </row>
    <row r="539" spans="1:19" x14ac:dyDescent="0.25">
      <c r="A539" s="196"/>
      <c r="B539" s="174"/>
      <c r="C539" s="200"/>
      <c r="D539" s="179"/>
      <c r="E539" s="179"/>
      <c r="F539" s="185"/>
      <c r="G539" s="186"/>
      <c r="H539" s="182"/>
      <c r="I539" s="193">
        <f t="shared" si="40"/>
        <v>0</v>
      </c>
      <c r="J539" s="192">
        <f t="shared" si="41"/>
        <v>0</v>
      </c>
      <c r="K539" s="173"/>
      <c r="L539" s="191">
        <f t="shared" si="39"/>
        <v>0</v>
      </c>
      <c r="M539" s="190">
        <f t="shared" si="42"/>
        <v>0</v>
      </c>
      <c r="N539" s="176"/>
      <c r="O539" s="176"/>
      <c r="P539" s="201"/>
      <c r="Q539" s="201"/>
      <c r="R539" s="309"/>
      <c r="S539" s="309"/>
    </row>
    <row r="540" spans="1:19" x14ac:dyDescent="0.25">
      <c r="A540" s="196"/>
      <c r="B540" s="174"/>
      <c r="C540" s="200"/>
      <c r="D540" s="179"/>
      <c r="E540" s="179"/>
      <c r="F540" s="185"/>
      <c r="G540" s="186"/>
      <c r="H540" s="182"/>
      <c r="I540" s="193">
        <f t="shared" si="40"/>
        <v>0</v>
      </c>
      <c r="J540" s="192">
        <f t="shared" si="41"/>
        <v>0</v>
      </c>
      <c r="K540" s="173"/>
      <c r="L540" s="191">
        <f t="shared" si="39"/>
        <v>0</v>
      </c>
      <c r="M540" s="190">
        <f t="shared" si="42"/>
        <v>0</v>
      </c>
      <c r="N540" s="176"/>
      <c r="O540" s="176"/>
      <c r="P540" s="201"/>
      <c r="Q540" s="201"/>
      <c r="R540" s="309"/>
      <c r="S540" s="309"/>
    </row>
    <row r="541" spans="1:19" x14ac:dyDescent="0.25">
      <c r="A541" s="196"/>
      <c r="B541" s="174"/>
      <c r="C541" s="200"/>
      <c r="D541" s="179"/>
      <c r="E541" s="179"/>
      <c r="F541" s="185"/>
      <c r="G541" s="186"/>
      <c r="H541" s="182"/>
      <c r="I541" s="193">
        <f t="shared" si="40"/>
        <v>0</v>
      </c>
      <c r="J541" s="192">
        <f t="shared" si="41"/>
        <v>0</v>
      </c>
      <c r="K541" s="173"/>
      <c r="L541" s="191">
        <f t="shared" si="39"/>
        <v>0</v>
      </c>
      <c r="M541" s="190">
        <f t="shared" si="42"/>
        <v>0</v>
      </c>
      <c r="N541" s="176"/>
      <c r="O541" s="176"/>
      <c r="P541" s="201"/>
      <c r="Q541" s="201"/>
      <c r="R541" s="309"/>
      <c r="S541" s="309"/>
    </row>
    <row r="542" spans="1:19" x14ac:dyDescent="0.25">
      <c r="A542" s="196"/>
      <c r="B542" s="174"/>
      <c r="C542" s="200"/>
      <c r="D542" s="179"/>
      <c r="E542" s="179"/>
      <c r="F542" s="185"/>
      <c r="G542" s="186"/>
      <c r="H542" s="182"/>
      <c r="I542" s="193">
        <f t="shared" si="40"/>
        <v>0</v>
      </c>
      <c r="J542" s="192">
        <f t="shared" si="41"/>
        <v>0</v>
      </c>
      <c r="K542" s="173"/>
      <c r="L542" s="191">
        <f t="shared" si="39"/>
        <v>0</v>
      </c>
      <c r="M542" s="190">
        <f t="shared" si="42"/>
        <v>0</v>
      </c>
      <c r="N542" s="176"/>
      <c r="O542" s="176"/>
      <c r="P542" s="201"/>
      <c r="Q542" s="201"/>
      <c r="R542" s="309"/>
      <c r="S542" s="309"/>
    </row>
    <row r="543" spans="1:19" x14ac:dyDescent="0.25">
      <c r="A543" s="196"/>
      <c r="B543" s="174"/>
      <c r="C543" s="200"/>
      <c r="D543" s="179"/>
      <c r="E543" s="179"/>
      <c r="F543" s="185"/>
      <c r="G543" s="186"/>
      <c r="H543" s="182"/>
      <c r="I543" s="193">
        <f t="shared" si="40"/>
        <v>0</v>
      </c>
      <c r="J543" s="192">
        <f t="shared" si="41"/>
        <v>0</v>
      </c>
      <c r="K543" s="173"/>
      <c r="L543" s="191">
        <f t="shared" si="39"/>
        <v>0</v>
      </c>
      <c r="M543" s="190">
        <f t="shared" si="42"/>
        <v>0</v>
      </c>
      <c r="N543" s="176"/>
      <c r="O543" s="176"/>
      <c r="P543" s="201"/>
      <c r="Q543" s="201"/>
      <c r="R543" s="309"/>
      <c r="S543" s="309"/>
    </row>
    <row r="544" spans="1:19" x14ac:dyDescent="0.25">
      <c r="N544" s="158"/>
      <c r="O544" s="158"/>
    </row>
    <row r="545" spans="14:15" x14ac:dyDescent="0.25">
      <c r="N545" s="158"/>
      <c r="O545" s="158"/>
    </row>
    <row r="546" spans="14:15" x14ac:dyDescent="0.25">
      <c r="N546" s="158"/>
      <c r="O546" s="158"/>
    </row>
    <row r="547" spans="14:15" x14ac:dyDescent="0.25">
      <c r="N547" s="158"/>
      <c r="O547" s="158"/>
    </row>
    <row r="548" spans="14:15" x14ac:dyDescent="0.25">
      <c r="N548" s="158"/>
      <c r="O548" s="158"/>
    </row>
    <row r="549" spans="14:15" x14ac:dyDescent="0.25">
      <c r="N549" s="158"/>
      <c r="O549" s="158"/>
    </row>
    <row r="550" spans="14:15" x14ac:dyDescent="0.25">
      <c r="N550" s="158"/>
      <c r="O550" s="158"/>
    </row>
    <row r="551" spans="14:15" x14ac:dyDescent="0.25">
      <c r="N551" s="158"/>
      <c r="O551" s="158"/>
    </row>
    <row r="552" spans="14:15" x14ac:dyDescent="0.25">
      <c r="N552" s="158"/>
      <c r="O552" s="158"/>
    </row>
    <row r="553" spans="14:15" x14ac:dyDescent="0.25">
      <c r="N553" s="158"/>
      <c r="O553" s="158"/>
    </row>
  </sheetData>
  <mergeCells count="23">
    <mergeCell ref="U1:AM1"/>
    <mergeCell ref="W2:Y2"/>
    <mergeCell ref="Z2:AI2"/>
    <mergeCell ref="A1:S1"/>
    <mergeCell ref="A2:S2"/>
    <mergeCell ref="U4:V4"/>
    <mergeCell ref="U5:V5"/>
    <mergeCell ref="U6:V6"/>
    <mergeCell ref="U7:V7"/>
    <mergeCell ref="U8:V8"/>
    <mergeCell ref="Z17:Z18"/>
    <mergeCell ref="AB17:AB21"/>
    <mergeCell ref="U26:V26"/>
    <mergeCell ref="U27:V27"/>
    <mergeCell ref="U28:V28"/>
    <mergeCell ref="AA17:AA21"/>
    <mergeCell ref="U17:X17"/>
    <mergeCell ref="Y17:Y18"/>
    <mergeCell ref="U30:V30"/>
    <mergeCell ref="U29:V29"/>
    <mergeCell ref="U12:V12"/>
    <mergeCell ref="U13:X13"/>
    <mergeCell ref="U14:X14"/>
  </mergeCells>
  <conditionalFormatting sqref="L4:M543">
    <cfRule type="cellIs" dxfId="0" priority="1" operator="lessThan">
      <formula>0</formula>
    </cfRule>
  </conditionalFormatting>
  <dataValidations count="6">
    <dataValidation type="list" errorStyle="information" allowBlank="1" showInputMessage="1" showErrorMessage="1" sqref="C4:C103">
      <formula1>$V$37:$V$58</formula1>
    </dataValidation>
    <dataValidation type="list" allowBlank="1" showInputMessage="1" showErrorMessage="1" sqref="N4:N543">
      <formula1>$Y$37:$Y$39</formula1>
    </dataValidation>
    <dataValidation type="list" allowBlank="1" showInputMessage="1" showErrorMessage="1" sqref="O4:O543">
      <formula1>$Z$37:$Z$86</formula1>
    </dataValidation>
    <dataValidation type="list" allowBlank="1" showInputMessage="1" showErrorMessage="1" sqref="A4:A543">
      <formula1>$W$37:$W$39</formula1>
    </dataValidation>
    <dataValidation type="list" errorStyle="information" allowBlank="1" showInputMessage="1" showErrorMessage="1" sqref="B4:B543">
      <formula1>INDIRECT(A4)</formula1>
    </dataValidation>
    <dataValidation type="list" allowBlank="1" showInputMessage="1" showErrorMessage="1" sqref="P4:S543">
      <formula1>$AG$37:$AG$50</formula1>
    </dataValidation>
  </dataValidations>
  <pageMargins left="0.7" right="0.7" top="0.75" bottom="0.75" header="0.3" footer="0.3"/>
  <pageSetup paperSize="9" scale="48" orientation="landscape" horizontalDpi="90" verticalDpi="90" r:id="rId1"/>
  <rowBreaks count="1" manualBreakCount="1">
    <brk id="35" max="35" man="1"/>
  </rowBreaks>
  <colBreaks count="1" manualBreakCount="1">
    <brk id="19" max="50"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C543"/>
  <sheetViews>
    <sheetView view="pageBreakPreview" zoomScale="75" zoomScaleNormal="75" zoomScaleSheetLayoutView="75" workbookViewId="0">
      <pane ySplit="3" topLeftCell="A4" activePane="bottomLeft" state="frozen"/>
      <selection pane="bottomLeft" activeCell="A12" sqref="A12"/>
    </sheetView>
  </sheetViews>
  <sheetFormatPr defaultRowHeight="15" x14ac:dyDescent="0.25"/>
  <cols>
    <col min="1" max="1" width="15.7109375" customWidth="1"/>
    <col min="2" max="2" width="14.85546875" customWidth="1"/>
    <col min="3" max="3" width="13.42578125" customWidth="1"/>
    <col min="4" max="4" width="11.5703125" customWidth="1"/>
    <col min="5" max="5" width="11.7109375" customWidth="1"/>
    <col min="6" max="6" width="11.5703125" customWidth="1"/>
    <col min="7" max="7" width="12.28515625" customWidth="1"/>
    <col min="8" max="8" width="17.28515625" customWidth="1"/>
    <col min="9" max="9" width="15.5703125" customWidth="1"/>
    <col min="10" max="10" width="30.5703125" customWidth="1"/>
    <col min="11" max="11" width="9.42578125" customWidth="1"/>
    <col min="12" max="12" width="13.28515625" customWidth="1"/>
    <col min="13" max="13" width="11.7109375" customWidth="1"/>
    <col min="14" max="14" width="13" customWidth="1"/>
    <col min="15" max="15" width="13.42578125" bestFit="1" customWidth="1"/>
    <col min="16" max="16" width="12.5703125" customWidth="1"/>
    <col min="17" max="19" width="8.140625" customWidth="1"/>
    <col min="20" max="20" width="10.42578125" customWidth="1"/>
    <col min="21" max="21" width="10.85546875" customWidth="1"/>
    <col min="22" max="22" width="7.85546875" customWidth="1"/>
    <col min="23" max="23" width="10.85546875" customWidth="1"/>
    <col min="24" max="24" width="10.5703125" customWidth="1"/>
    <col min="26" max="26" width="9.42578125" customWidth="1"/>
    <col min="27" max="27" width="11.42578125" customWidth="1"/>
  </cols>
  <sheetData>
    <row r="1" spans="1:29" ht="15.75" thickBot="1" x14ac:dyDescent="0.3">
      <c r="A1" s="408" t="s">
        <v>273</v>
      </c>
      <c r="B1" s="409"/>
      <c r="C1" s="409"/>
      <c r="D1" s="409"/>
      <c r="E1" s="409"/>
      <c r="F1" s="409"/>
      <c r="G1" s="409"/>
      <c r="H1" s="409"/>
      <c r="I1" s="409"/>
      <c r="J1" s="410"/>
      <c r="L1" s="467" t="s">
        <v>274</v>
      </c>
      <c r="M1" s="468"/>
      <c r="N1" s="469"/>
      <c r="O1" s="469"/>
      <c r="P1" s="469"/>
      <c r="Q1" s="469"/>
      <c r="R1" s="469"/>
      <c r="S1" s="469"/>
      <c r="T1" s="469"/>
      <c r="U1" s="469"/>
      <c r="V1" s="469"/>
      <c r="W1" s="469"/>
      <c r="X1" s="469"/>
      <c r="Y1" s="470"/>
    </row>
    <row r="2" spans="1:29" ht="15.75" thickBot="1" x14ac:dyDescent="0.3">
      <c r="A2" s="411" t="s">
        <v>424</v>
      </c>
      <c r="B2" s="412"/>
      <c r="C2" s="412"/>
      <c r="D2" s="412"/>
      <c r="E2" s="412"/>
      <c r="F2" s="412"/>
      <c r="G2" s="412"/>
      <c r="H2" s="412"/>
      <c r="I2" s="412"/>
      <c r="J2" s="413"/>
      <c r="L2" s="16"/>
      <c r="N2" s="471" t="s">
        <v>170</v>
      </c>
      <c r="O2" s="472"/>
      <c r="P2" s="283" t="s">
        <v>171</v>
      </c>
      <c r="Q2" s="284"/>
      <c r="R2" s="284"/>
      <c r="S2" s="284"/>
      <c r="T2" s="284"/>
      <c r="U2" s="284"/>
      <c r="V2" s="284"/>
      <c r="W2" s="284"/>
      <c r="X2" s="284"/>
      <c r="Y2" s="285"/>
      <c r="AA2" s="2"/>
      <c r="AB2" s="2"/>
      <c r="AC2" s="2"/>
    </row>
    <row r="3" spans="1:29" ht="60.75" thickBot="1" x14ac:dyDescent="0.3">
      <c r="A3" s="109" t="s">
        <v>85</v>
      </c>
      <c r="B3" s="109" t="s">
        <v>80</v>
      </c>
      <c r="C3" s="109" t="s">
        <v>113</v>
      </c>
      <c r="D3" s="109" t="s">
        <v>83</v>
      </c>
      <c r="E3" s="109" t="s">
        <v>86</v>
      </c>
      <c r="F3" s="109" t="s">
        <v>81</v>
      </c>
      <c r="G3" s="109" t="s">
        <v>152</v>
      </c>
      <c r="H3" s="109" t="s">
        <v>259</v>
      </c>
      <c r="I3" s="109" t="s">
        <v>266</v>
      </c>
      <c r="J3" s="109" t="s">
        <v>260</v>
      </c>
      <c r="L3" s="420"/>
      <c r="M3" s="421"/>
      <c r="N3" s="23" t="s">
        <v>162</v>
      </c>
      <c r="O3" s="24" t="s">
        <v>122</v>
      </c>
      <c r="P3" s="23" t="s">
        <v>158</v>
      </c>
      <c r="Q3" s="167" t="s">
        <v>99</v>
      </c>
      <c r="R3" s="167" t="s">
        <v>92</v>
      </c>
      <c r="S3" s="167" t="s">
        <v>93</v>
      </c>
      <c r="T3" s="167" t="s">
        <v>289</v>
      </c>
      <c r="U3" s="167" t="s">
        <v>94</v>
      </c>
      <c r="V3" s="167" t="s">
        <v>159</v>
      </c>
      <c r="W3" s="167" t="s">
        <v>103</v>
      </c>
      <c r="X3" s="167" t="s">
        <v>160</v>
      </c>
      <c r="Y3" s="62" t="s">
        <v>161</v>
      </c>
      <c r="AC3" s="50"/>
    </row>
    <row r="4" spans="1:29" ht="60" x14ac:dyDescent="0.25">
      <c r="A4" s="175" t="s">
        <v>149</v>
      </c>
      <c r="B4" s="175" t="s">
        <v>116</v>
      </c>
      <c r="C4" s="175" t="s">
        <v>0</v>
      </c>
      <c r="D4" s="175" t="s">
        <v>216</v>
      </c>
      <c r="E4" s="177" t="s">
        <v>118</v>
      </c>
      <c r="F4" s="177" t="s">
        <v>153</v>
      </c>
      <c r="G4" s="175">
        <f>0.75*65</f>
        <v>48.75</v>
      </c>
      <c r="H4" s="303" t="s">
        <v>443</v>
      </c>
      <c r="I4" s="175" t="s">
        <v>111</v>
      </c>
      <c r="J4" s="301" t="s">
        <v>427</v>
      </c>
      <c r="L4" s="268" t="s">
        <v>78</v>
      </c>
      <c r="M4" s="294" t="s">
        <v>78</v>
      </c>
      <c r="N4" s="231">
        <f t="shared" ref="N4:N11" si="0">SUM(P4:Y4)</f>
        <v>6352</v>
      </c>
      <c r="O4" s="286">
        <f>N4/$N$12</f>
        <v>1.132041845627417E-2</v>
      </c>
      <c r="P4" s="228">
        <f>SUMIFS(G4:G543,D4:D543,"*17 01*",I4:I543,"*reuse*")</f>
        <v>0</v>
      </c>
      <c r="Q4" s="229">
        <f>SUMIFS(G4:G543,D4:D543,"*17 02 01*",I4:I543,"*reuse*")</f>
        <v>0</v>
      </c>
      <c r="R4" s="229">
        <f>SUMIFS(G4:G543,D4:D543,"*17 02 02*",I4:I543,"*reuse*")</f>
        <v>200</v>
      </c>
      <c r="S4" s="229">
        <f>SUMIFS(G4:G543,D4:D543,"*17 02 03*",I4:I543,"*reuse*")</f>
        <v>0</v>
      </c>
      <c r="T4" s="229">
        <f>SUMIFS(G4:G543,D4:D543,"*17 02 04*",I4:I543,"*reuse*")</f>
        <v>0</v>
      </c>
      <c r="U4" s="229">
        <f>SUMIFS(G4:G543,D4:D543,"*17 03*",I4:I543,"*reuse*")</f>
        <v>0</v>
      </c>
      <c r="V4" s="229">
        <f>SUMIFS(G4:G543,D4:D543,"*17 04*",I4:I543,"*reuse*")</f>
        <v>36</v>
      </c>
      <c r="W4" s="229">
        <f>SUMIFS(G4:G543,D4:D543,"*17 06*",I4:I543,"*reuse*")</f>
        <v>0</v>
      </c>
      <c r="X4" s="229">
        <f>SUMIFS(G4:G543,D4:D543,"*17 08*",I4:I543,"*reuse*")</f>
        <v>0</v>
      </c>
      <c r="Y4" s="230">
        <f>SUMIFS(G4:G543,D4:D543,"*17 09*",I4:I543,"*reuse*")</f>
        <v>6116</v>
      </c>
      <c r="AA4" s="72"/>
      <c r="AB4" s="73"/>
      <c r="AC4" s="74"/>
    </row>
    <row r="5" spans="1:29" ht="24" x14ac:dyDescent="0.25">
      <c r="A5" s="175" t="s">
        <v>149</v>
      </c>
      <c r="B5" s="175" t="s">
        <v>112</v>
      </c>
      <c r="C5" s="175" t="s">
        <v>0</v>
      </c>
      <c r="D5" s="175" t="s">
        <v>52</v>
      </c>
      <c r="E5" s="177"/>
      <c r="F5" s="177"/>
      <c r="G5" s="175">
        <v>56478</v>
      </c>
      <c r="H5" s="303" t="s">
        <v>435</v>
      </c>
      <c r="I5" s="175" t="s">
        <v>109</v>
      </c>
      <c r="J5" s="301" t="s">
        <v>433</v>
      </c>
      <c r="L5" s="268" t="s">
        <v>3</v>
      </c>
      <c r="M5" s="294" t="s">
        <v>3</v>
      </c>
      <c r="N5" s="231">
        <f t="shared" si="0"/>
        <v>520321</v>
      </c>
      <c r="O5" s="286">
        <f>N5/$N$12</f>
        <v>0.92730658872591831</v>
      </c>
      <c r="P5" s="234">
        <f>SUMIFS(G4:G543,D4:D543,"*17 01*",I4:I543,"*recycling*")</f>
        <v>520321</v>
      </c>
      <c r="Q5" s="235">
        <f>SUMIFS(G4:G543,D4:D543,"*17 02 01*",I4:I543,"*recycling*")</f>
        <v>0</v>
      </c>
      <c r="R5" s="235">
        <f>SUMIFS(G4:G543,D4:D543,"*17 02 02*",I4:I543,"*recycling*")</f>
        <v>0</v>
      </c>
      <c r="S5" s="235">
        <f>SUMIFS(G4:G543,D4:D543,"*17 02 03*",I4:I543,"*recycling*")</f>
        <v>0</v>
      </c>
      <c r="T5" s="235">
        <f>SUMIFS(G4:G543,D4:D543,"*17 02 04*",I4:I543,"*recycling*")</f>
        <v>0</v>
      </c>
      <c r="U5" s="235">
        <f>SUMIFS(G4:G543,D4:D543,"*17 03*",I4:I543,"*recycling*")</f>
        <v>0</v>
      </c>
      <c r="V5" s="235">
        <f>SUMIFS(G4:G543,D4:D543,"*17 04*",I4:I543,"*recycling*")</f>
        <v>0</v>
      </c>
      <c r="W5" s="235">
        <f>SUMIFS(G4:G543,D4:D543,"*17 06*",I4:I543,"*recycling*")</f>
        <v>0</v>
      </c>
      <c r="X5" s="235">
        <f>SUMIFS(G4:G543,D4:D543,"*17 08*",I4:I543,"*recycling*")</f>
        <v>0</v>
      </c>
      <c r="Y5" s="236">
        <f>SUMIFS(G4:G543,D4:D543,"*17 09*",I4:I543,"*recycling*")</f>
        <v>0</v>
      </c>
      <c r="AA5" s="72"/>
      <c r="AB5" s="73"/>
      <c r="AC5" s="74"/>
    </row>
    <row r="6" spans="1:29" ht="36" x14ac:dyDescent="0.25">
      <c r="A6" s="175" t="s">
        <v>149</v>
      </c>
      <c r="B6" s="175" t="s">
        <v>103</v>
      </c>
      <c r="C6" s="175" t="s">
        <v>0</v>
      </c>
      <c r="D6" s="175" t="s">
        <v>69</v>
      </c>
      <c r="E6" s="177"/>
      <c r="F6" s="177"/>
      <c r="G6" s="175">
        <v>1452</v>
      </c>
      <c r="H6" s="303" t="s">
        <v>435</v>
      </c>
      <c r="I6" s="175" t="s">
        <v>110</v>
      </c>
      <c r="J6" s="301" t="s">
        <v>434</v>
      </c>
      <c r="L6" s="456" t="s">
        <v>77</v>
      </c>
      <c r="M6" s="295" t="s">
        <v>168</v>
      </c>
      <c r="N6" s="237">
        <f t="shared" si="0"/>
        <v>30197</v>
      </c>
      <c r="O6" s="287">
        <f>N6/$N$12</f>
        <v>5.3816542210974677E-2</v>
      </c>
      <c r="P6" s="288">
        <f>SUMIFS(G4:G543,D4:D543,"*17 01*",I4:I543,"*backfill*")</f>
        <v>30197</v>
      </c>
      <c r="Q6" s="289">
        <f>SUMIFS(G4:G543,D4:D543,"*17 02 01*",I4:I543,"*backfill*")</f>
        <v>0</v>
      </c>
      <c r="R6" s="289">
        <f>SUMIFS(G4:G543,D4:D543,"*17 02 02*",I4:I543,"*backfill*")</f>
        <v>0</v>
      </c>
      <c r="S6" s="289">
        <f>SUMIFS(G4:G543,D4:D543,"*17 02 03*",I4:I543,"*backfill*")</f>
        <v>0</v>
      </c>
      <c r="T6" s="289">
        <f>SUMIFS(G4:G543,D4:D543,"*17 02 04*",I4:I543,"*backfill*")</f>
        <v>0</v>
      </c>
      <c r="U6" s="289">
        <f>SUMIFS(G4:G543,D4:D543,"*17 03*",I4:I543,"*backfill*")</f>
        <v>0</v>
      </c>
      <c r="V6" s="289">
        <f>SUMIFS(G4:G543,D4:D543,"*17 04*",I4:I543,"*backfill*")</f>
        <v>0</v>
      </c>
      <c r="W6" s="289">
        <f>SUMIFS(G4:G543,D4:D543,"*17 06*",I4:I543,"*backfill*")</f>
        <v>0</v>
      </c>
      <c r="X6" s="289">
        <f>SUMIFS(G4:G543,D4:D543,"*17 08*",I4:I543,"*backfill*")</f>
        <v>0</v>
      </c>
      <c r="Y6" s="290">
        <f>SUMIFS(G4:G543,D4:D543,"*17 09*",I4:I543,"*backfill*")</f>
        <v>0</v>
      </c>
      <c r="AA6" s="75"/>
      <c r="AB6" s="73"/>
      <c r="AC6" s="74"/>
    </row>
    <row r="7" spans="1:29" ht="24.75" thickBot="1" x14ac:dyDescent="0.3">
      <c r="A7" s="175" t="s">
        <v>79</v>
      </c>
      <c r="B7" s="175" t="s">
        <v>239</v>
      </c>
      <c r="C7" s="175" t="s">
        <v>252</v>
      </c>
      <c r="D7" s="175" t="s">
        <v>23</v>
      </c>
      <c r="E7" s="177"/>
      <c r="F7" s="177"/>
      <c r="G7" s="175">
        <v>36</v>
      </c>
      <c r="H7" s="303" t="s">
        <v>436</v>
      </c>
      <c r="I7" s="175" t="s">
        <v>430</v>
      </c>
      <c r="J7" s="301" t="s">
        <v>434</v>
      </c>
      <c r="L7" s="466"/>
      <c r="M7" s="298" t="s">
        <v>156</v>
      </c>
      <c r="N7" s="243">
        <f t="shared" si="0"/>
        <v>2788</v>
      </c>
      <c r="O7" s="291">
        <f>N7/$N$12</f>
        <v>4.9687227103420006E-3</v>
      </c>
      <c r="P7" s="288">
        <f>SUMIFS(G4:G543,D4:D543,"*17 01*",I4:I543,"*energy*")</f>
        <v>0</v>
      </c>
      <c r="Q7" s="289">
        <f>SUMIFS(G4:G543,D4:D543,"*17 02 01*",I4:I543,"*energy*")</f>
        <v>0</v>
      </c>
      <c r="R7" s="289">
        <f>SUMIFS(G4:G543,D4:D543,"*17 02 02*",I4:I543,"*energy*")</f>
        <v>1788</v>
      </c>
      <c r="S7" s="289">
        <f>SUMIFS(G4:G543,D4:D543,"*17 02 03*",I4:I543,"*energy*")</f>
        <v>0</v>
      </c>
      <c r="T7" s="289">
        <f>SUMIFS(G4:G543,D4:D543,"*17 02 04*",I4:I543,"*energy*")</f>
        <v>0</v>
      </c>
      <c r="U7" s="289">
        <f>SUMIFS(G4:G543,D4:D543,"*17 03*",I4:I543,"*energy*")</f>
        <v>0</v>
      </c>
      <c r="V7" s="289">
        <f>SUMIFS(G4:G543,D4:D543,"*17 04*",I4:I543,"*energy*")</f>
        <v>0</v>
      </c>
      <c r="W7" s="289">
        <f>SUMIFS(G4:G543,D4:D543,"*17 06*",I4:I543,"*energy*")</f>
        <v>0</v>
      </c>
      <c r="X7" s="289">
        <f>SUMIFS(G4:G543,D4:D543,"*17 08*",I4:I543,"*energy*")</f>
        <v>0</v>
      </c>
      <c r="Y7" s="290">
        <f>SUMIFS(G4:G543,D4:D543,"*17 09*",I4:I543,"*energy*")</f>
        <v>1000</v>
      </c>
      <c r="AA7" s="76"/>
      <c r="AB7" s="73"/>
      <c r="AC7" s="74"/>
    </row>
    <row r="8" spans="1:29" ht="24" x14ac:dyDescent="0.25">
      <c r="A8" s="175" t="s">
        <v>79</v>
      </c>
      <c r="B8" s="175" t="s">
        <v>99</v>
      </c>
      <c r="C8" s="175" t="s">
        <v>252</v>
      </c>
      <c r="D8" s="175" t="s">
        <v>28</v>
      </c>
      <c r="E8" s="177"/>
      <c r="F8" s="177"/>
      <c r="G8" s="175">
        <v>6116</v>
      </c>
      <c r="H8" s="303" t="s">
        <v>436</v>
      </c>
      <c r="I8" s="175" t="s">
        <v>430</v>
      </c>
      <c r="J8" s="301" t="s">
        <v>433</v>
      </c>
      <c r="L8" s="299" t="s">
        <v>157</v>
      </c>
      <c r="M8" s="300" t="s">
        <v>157</v>
      </c>
      <c r="N8" s="249">
        <f t="shared" si="0"/>
        <v>1452</v>
      </c>
      <c r="O8" s="292">
        <f>N8/$N$12</f>
        <v>2.5877278964908843E-3</v>
      </c>
      <c r="P8" s="252">
        <f>SUMIFS(G4:G543,D4:D543,"*17 01*",I4:I543,"*incineration*")+SUMIFS(G4:G543,D4:D543,"*17 01*",I4:I543,"*landfill*")</f>
        <v>0</v>
      </c>
      <c r="Q8" s="253">
        <f>SUMIFS(G4:G543,D4:D543,"*17 02 01*",I4:I543,"*incineration*")+SUMIFS(G4:G543,D4:D543,"*17 02 01*",I4:I543,"*landfill*")</f>
        <v>0</v>
      </c>
      <c r="R8" s="253">
        <f>SUMIFS(G4:G543,D4:D543,"*17 02 02*",I4:I543,"*incineration*")+SUMIFS(G4:G543,D4:D543,"*17 02 02*",I4:I543,"*landfill*")</f>
        <v>0</v>
      </c>
      <c r="S8" s="253">
        <f>SUMIFS(G4:G543,D4:D543,"*17 02 03*",I4:I543,"*incineration*")+SUMIFS(G4:G543,D4:D543,"*17 02 03*",I4:I543,"*landfill*")</f>
        <v>0</v>
      </c>
      <c r="T8" s="253">
        <f>SUMIFS(G4:G543,D4:D543,"*17 02 04*",I4:I543,"*incineration*")+SUMIFS(G4:G543,D4:D543,"*17 02 04*",I4:I543,"*landfill*")</f>
        <v>0</v>
      </c>
      <c r="U8" s="253">
        <f>SUMIFS(G4:G543,D4:D543,"*17 03*",I4:I543,"*incineration*")+SUMIFS(G4:G543,D4:D543,"*17 03*",I4:I543,"*landfill*")</f>
        <v>0</v>
      </c>
      <c r="V8" s="253">
        <f>SUMIFS(G4:G543,D4:D543,"*17 04*",I4:I543,"*incineration*")+SUMIFS(G4:G543,D4:D543,"*17 04*",I4:I543,"*landfill*")</f>
        <v>0</v>
      </c>
      <c r="W8" s="253">
        <f>SUMIFS(G4:G543,D4:D543,"*17 06*",I4:I543,"*incineration*")+SUMIFS(G4:G543,D4:D543,"*17 06*",I4:I543,"*landfill*")</f>
        <v>1452</v>
      </c>
      <c r="X8" s="253">
        <f>SUMIFS(G4:G543,D4:D543,"*17 08*",I4:I543,"*incineration*")+SUMIFS(G4:G543,D4:D543,"*17 08*",I4:I543,"*landfill*")</f>
        <v>0</v>
      </c>
      <c r="Y8" s="254">
        <f>SUMIFS(G4:G543,D4:D543,"*17 09*",I4:I543,"*incineration*")+SUMIFS(G4:G543,D4:D543,"*17 09*",I4:I543,"*landfill*")</f>
        <v>0</v>
      </c>
      <c r="AA8" s="77"/>
      <c r="AB8" s="73"/>
      <c r="AC8" s="74"/>
    </row>
    <row r="9" spans="1:29" ht="24" x14ac:dyDescent="0.25">
      <c r="A9" s="175" t="s">
        <v>76</v>
      </c>
      <c r="B9" s="175" t="s">
        <v>225</v>
      </c>
      <c r="C9" s="175" t="s">
        <v>252</v>
      </c>
      <c r="D9" s="175" t="s">
        <v>28</v>
      </c>
      <c r="E9" s="177" t="s">
        <v>227</v>
      </c>
      <c r="F9" s="177" t="s">
        <v>228</v>
      </c>
      <c r="G9" s="175">
        <f>20*50</f>
        <v>1000</v>
      </c>
      <c r="H9" s="303" t="s">
        <v>437</v>
      </c>
      <c r="I9" s="175" t="s">
        <v>163</v>
      </c>
      <c r="J9" s="301" t="s">
        <v>434</v>
      </c>
      <c r="L9" s="221" t="s">
        <v>277</v>
      </c>
      <c r="M9" s="222" t="s">
        <v>106</v>
      </c>
      <c r="N9" s="293">
        <f t="shared" si="0"/>
        <v>0</v>
      </c>
      <c r="O9" s="293"/>
      <c r="P9" s="258">
        <f>SUMIFS(G4:G543,D4:D543,"*17 01*",I4:I543,"*incineration*",C4:C543,"*inert*")+SUMIFS(G4:G543,D4:D543,"*17 01*",I4:I543,"*landfill*",C4:C543,"*inert*")</f>
        <v>0</v>
      </c>
      <c r="Q9" s="255">
        <f>SUMIFS(G4:G543,D4:D543,"*17 02 01*",I4:I543,"*incineration*",C4:C543,"*inert*")+SUMIFS(G4:G543,D4:D543,"*17 02 01*",I4:I543,"*landfill*",C4:C543,"*inert*")</f>
        <v>0</v>
      </c>
      <c r="R9" s="255">
        <f>SUMIFS(G4:G543,D4:D543,"*17 02 02*",I4:I543,"*incineration*",C4:C543,"*inert*")+SUMIFS(G4:G543,D4:D543,"*17 02 02*",I4:I543,"*landfill*",C4:C543,"*inert*")</f>
        <v>0</v>
      </c>
      <c r="S9" s="255">
        <f>SUMIFS(G4:G543,D4:D543,"*17 02 03*",I4:I543,"*incineration*",C4:C543,"*inert*")+SUMIFS(G4:G543,D4:D543,"*17 02 03*",I4:I543,"*landfill*",C4:C543,"*inert*")</f>
        <v>0</v>
      </c>
      <c r="T9" s="255">
        <f>SUMIFS(G4:G543,D4:D543,"*17 02 04*",I4:I543,"*incineration*",C4:C543,"*inert*")+SUMIFS(G4:G543,D4:D543,"*17 02 04*",I4:I543,"*landfill*",C4:C543,"*inert*")</f>
        <v>0</v>
      </c>
      <c r="U9" s="255">
        <f>SUMIFS(G4:G543,D4:D543,"*17 03*",I4:I543,"*incineration*",C4:C543,"*inert*")+SUMIFS(G4:G543,D4:D543,"*17 03*",I4:I543,"*landfill*",C4:C543,"*inert*")</f>
        <v>0</v>
      </c>
      <c r="V9" s="255">
        <f>SUMIFS(G4:G543,D4:D543,"*17 04*",I4:I543,"*incineration*",C4:C543,"*inert*")+SUMIFS(G4:G543,D4:D543,"*17 04*",I4:I543,"*landfill*",C4:C543,"*inert*")</f>
        <v>0</v>
      </c>
      <c r="W9" s="255">
        <f>SUMIFS(G4:G543,D4:D543,"*17 06*",I4:I543,"*incineration*",C4:C543,"*inert*")+SUMIFS(G4:G543,D4:D543,"*17 06*",I4:I543,"*landfill*",C4:C543,"*inert*")</f>
        <v>0</v>
      </c>
      <c r="X9" s="255">
        <f>SUMIFS(G4:G543,D4:D543,"*17 08*",I4:I543,"*incineration*",C4:C543,"*inert*")+SUMIFS(G4:G543,D4:D543,"*17 08*",I4:I543,"*landfill*",C4:C543,"*inert*")</f>
        <v>0</v>
      </c>
      <c r="Y9" s="257">
        <f>SUMIFS(G4:G543,D4:D543,"*17 09*",I4:I543,"*incineration*",C4:C543,"*inert*")+SUMIFS(G4:G543,D4:D543,"*17 09*",I4:I543,"*landfill*",C4:C543,"*inert*")</f>
        <v>0</v>
      </c>
      <c r="AA9" s="73"/>
      <c r="AB9" s="73"/>
      <c r="AC9" s="74"/>
    </row>
    <row r="10" spans="1:29" ht="36" x14ac:dyDescent="0.25">
      <c r="A10" s="175" t="s">
        <v>87</v>
      </c>
      <c r="B10" s="175" t="s">
        <v>91</v>
      </c>
      <c r="C10" s="175" t="s">
        <v>106</v>
      </c>
      <c r="D10" s="175" t="s">
        <v>6</v>
      </c>
      <c r="E10" s="177"/>
      <c r="F10" s="177"/>
      <c r="G10" s="175">
        <v>23766</v>
      </c>
      <c r="H10" s="303" t="s">
        <v>438</v>
      </c>
      <c r="I10" s="175" t="s">
        <v>221</v>
      </c>
      <c r="J10" s="301" t="s">
        <v>434</v>
      </c>
      <c r="L10" s="221"/>
      <c r="M10" s="222" t="s">
        <v>252</v>
      </c>
      <c r="N10" s="293">
        <f t="shared" si="0"/>
        <v>0</v>
      </c>
      <c r="O10" s="293"/>
      <c r="P10" s="258">
        <f>SUMIFS(G4:G543,D4:D543,"*17 01*",I4:I543,"*incineration*",C4:C543,"*non-haz*")+SUMIFS(G4:G543,D4:D543,"*17 01*",I4:I543,"*landfill*",C4:C543,"*non-haz*")</f>
        <v>0</v>
      </c>
      <c r="Q10" s="255">
        <f>SUMIFS(G4:G543,D4:D543,"*17 02 01*",I4:I543,"*incineration*",C4:C543,"*non-haz*")+SUMIFS(G4:G543,D4:D543,"*17 02 01*",I4:I543,"*landfill*",C4:C543,"*non-haz*")</f>
        <v>0</v>
      </c>
      <c r="R10" s="255">
        <f>SUMIFS(G4:G543,D4:D543,"*17 02 02*",I4:I543,"*incineration*",C4:C543,"*non-haz*")+SUMIFS(G4:G543,D4:D543,"*17 02 02*",I4:I543,"*landfill*",C4:C543,"*non-haz*")</f>
        <v>0</v>
      </c>
      <c r="S10" s="255">
        <f>SUMIFS(G4:G543,D4:D543,"*17 02 03*",I4:I543,"*incineration*",C4:C543,"*non-haz*")+SUMIFS(G4:G543,D4:D543,"*17 02 03*",I4:I543,"*landfill*",C4:C543,"*non-haz*")</f>
        <v>0</v>
      </c>
      <c r="T10" s="255">
        <f>SUMIFS(G4:G543,D4:D543,"*17 02 04*",I4:I543,"*incineration*",C4:C543,"*non-haz*")+SUMIFS(G4:G543,D4:D543,"*17 02 04*",I4:I543,"*landfill*",C4:C543,"*non-haz*")</f>
        <v>0</v>
      </c>
      <c r="U10" s="255">
        <f>SUMIFS(G4:G543,D4:D543,"*17 03*",I4:I543,"*incineration*",C4:C543,"*non-haz*")+SUMIFS(G4:G543,D4:D543,"*17 03*",I4:I543,"*landfill*",C4:C543,"*non-haz*")</f>
        <v>0</v>
      </c>
      <c r="V10" s="255">
        <f>SUMIFS(G4:G543,D4:D543,"*17 04*",I4:I543,"*incineration*",C4:C543,"*non-haz*")+SUMIFS(G4:G543,D4:D543,"*17 04*",I4:I543,"*landfill*",C4:C543,"*non-haz*")</f>
        <v>0</v>
      </c>
      <c r="W10" s="255">
        <f>SUMIFS(G4:G543,D4:D543,"*17 06*",I4:I543,"*incineration*",C4:C543,"*non-haz*")+SUMIFS(G4:G543,D4:D543,"*17 06*",I4:I543,"*landfill*",C4:C543,"*non-haz*")</f>
        <v>0</v>
      </c>
      <c r="X10" s="255">
        <f>SUMIFS(G4:G543,D4:D543,"*17 08*",I4:I543,"*incineration*",C4:C543,"*non-haz*")+SUMIFS(G4:G543,D4:D543,"*17 08*",I4:I543,"*landfill*",C4:C543,"*non-haz*")</f>
        <v>0</v>
      </c>
      <c r="Y10" s="257">
        <f>SUMIFS(G4:G543,D4:D543,"*17 09*",I4:I543,"*incineration*",C4:C543,"*non-haz*")+SUMIFS(G4:G543,D4:D543,"*17 09*",I4:I543,"*landfill*",C4:C543,"*non-haz*")</f>
        <v>0</v>
      </c>
    </row>
    <row r="11" spans="1:29" ht="15.75" thickBot="1" x14ac:dyDescent="0.3">
      <c r="A11" s="176" t="s">
        <v>87</v>
      </c>
      <c r="B11" s="176" t="s">
        <v>88</v>
      </c>
      <c r="C11" s="176" t="s">
        <v>106</v>
      </c>
      <c r="D11" s="176" t="s">
        <v>4</v>
      </c>
      <c r="E11" s="178"/>
      <c r="F11" s="178"/>
      <c r="G11" s="176">
        <v>494678</v>
      </c>
      <c r="H11" s="304" t="s">
        <v>438</v>
      </c>
      <c r="I11" s="176" t="s">
        <v>403</v>
      </c>
      <c r="J11" s="301" t="s">
        <v>433</v>
      </c>
      <c r="L11" s="223"/>
      <c r="M11" s="224" t="s">
        <v>0</v>
      </c>
      <c r="N11" s="293">
        <f t="shared" si="0"/>
        <v>1452</v>
      </c>
      <c r="O11" s="293"/>
      <c r="P11" s="262">
        <f>SUMIFS(G4:G543,D4:D543,"*17 01*",I4:I543,"*incineration*",C4:C543,"hazardous")+SUMIFS(G4:G543,D4:D543,"*17 01*",I4:I543,"*landfill*",C4:C543,"hazardous")</f>
        <v>0</v>
      </c>
      <c r="Q11" s="259">
        <f>SUMIFS(G4:G543,D4:D543,"*17 02 01*",I4:I543,"*incineration*",C4:C543,"hazardous")+SUMIFS(G4:G543,D4:D543,"*17 02 01*",I4:I543,"*landfill*",C4:C543,"hazardous")</f>
        <v>0</v>
      </c>
      <c r="R11" s="259">
        <f>SUMIFS(G4:G543,D4:D543,"*17 02 02*",I4:I543,"*incineration*",C4:C543,"hazardous")+SUMIFS(G4:G543,D4:D543,"*17 02 02*",I4:I543,"*landfill*",C4:C543,"hazardous")</f>
        <v>0</v>
      </c>
      <c r="S11" s="259">
        <f>SUMIFS(G4:G543,D4:D543,"*17 02 03*",I4:I543,"*incineration*",C4:C543,"hazardous")+SUMIFS(G4:G543,D4:D543,"*17 02 03*",I4:I543,"*landfill*",C4:C543,"hazardous")</f>
        <v>0</v>
      </c>
      <c r="T11" s="259">
        <f>SUMIFS(G4:G543,D4:D543,"*17 02 04*",I4:I543,"*incineration*",C4:C543,"hazardous")+SUMIFS(G4:G543,D4:D543,"*17 02 04*",I4:I543,"*landfill*",C4:C543,"hazardous")</f>
        <v>0</v>
      </c>
      <c r="U11" s="259">
        <f>SUMIFS(G4:G543,D4:D543,"*17 03*",I4:I543,"*incineration*",C4:C543,"hazardous")+SUMIFS(G4:G543,D4:D543,"*17 03*",I4:I543,"*landfill*",C4:C543,"hazardous")</f>
        <v>0</v>
      </c>
      <c r="V11" s="259">
        <f>SUMIFS(G4:G543,D4:D543,"*17 04*",I4:I543,"*incineration*",C4:C543,"hazardous")+SUMIFS(G4:G543,D4:D543,"*17 04*",I4:I543,"*landfill*",C4:C543,"hazardous")</f>
        <v>0</v>
      </c>
      <c r="W11" s="259">
        <f>SUMIFS(G4:G543,D4:D543,"*17 06*",I4:I543,"*incineration*",C4:C543,"hazardous")+SUMIFS(G4:G543,D4:D543,"*17 06*",I4:I543,"*landfill*",C4:C543,"hazardous")</f>
        <v>1452</v>
      </c>
      <c r="X11" s="259">
        <f>SUMIFS(G4:G543,D4:D543,"*17 08*",I4:I543,"*incineration*",C4:C543,"hazardous")+SUMIFS(G4:G543,D4:D543,"*17 08*",I4:I543,"*landfill*",C4:C543,"hazardous")</f>
        <v>0</v>
      </c>
      <c r="Y11" s="261">
        <f>SUMIFS(G4:G543,D4:D543,"*17 09*",I4:I543,"*incineration*",C4:C543,"hazardous")+SUMIFS(G4:G543,D4:D543,"*17 09*",I4:I543,"*landfill*",C4:C543,"hazardous")</f>
        <v>0</v>
      </c>
    </row>
    <row r="12" spans="1:29" ht="15.75" thickBot="1" x14ac:dyDescent="0.3">
      <c r="A12" s="176" t="s">
        <v>358</v>
      </c>
      <c r="B12" s="176" t="s">
        <v>255</v>
      </c>
      <c r="C12" s="176" t="s">
        <v>106</v>
      </c>
      <c r="D12" s="176" t="s">
        <v>4</v>
      </c>
      <c r="E12" s="178"/>
      <c r="F12" s="178"/>
      <c r="G12" s="176">
        <v>25643</v>
      </c>
      <c r="H12" s="304" t="s">
        <v>439</v>
      </c>
      <c r="I12" s="176" t="s">
        <v>403</v>
      </c>
      <c r="J12" s="301" t="s">
        <v>434</v>
      </c>
      <c r="L12" s="435" t="s">
        <v>165</v>
      </c>
      <c r="M12" s="437"/>
      <c r="N12" s="264">
        <f>SUM(N4:N8)</f>
        <v>561110</v>
      </c>
      <c r="O12" s="265">
        <f>N12/$N$12</f>
        <v>1</v>
      </c>
      <c r="P12" s="130">
        <f>SUM(P4:P8)</f>
        <v>550518</v>
      </c>
      <c r="Q12" s="131">
        <f>SUM(Q4:Q8)</f>
        <v>0</v>
      </c>
      <c r="R12" s="131">
        <f t="shared" ref="R12:T12" si="1">SUM(R4:R8)</f>
        <v>1988</v>
      </c>
      <c r="S12" s="131">
        <f t="shared" si="1"/>
        <v>0</v>
      </c>
      <c r="T12" s="131">
        <f t="shared" si="1"/>
        <v>0</v>
      </c>
      <c r="U12" s="131">
        <f>SUM(U4:U8)</f>
        <v>0</v>
      </c>
      <c r="V12" s="131">
        <f>SUM(V4:V8)</f>
        <v>36</v>
      </c>
      <c r="W12" s="131">
        <f>SUM(W4:W8)</f>
        <v>1452</v>
      </c>
      <c r="X12" s="131">
        <f>SUM(X4:X8)</f>
        <v>0</v>
      </c>
      <c r="Y12" s="132">
        <f>SUM(Y4:Y8)</f>
        <v>7116</v>
      </c>
    </row>
    <row r="13" spans="1:29" ht="15" customHeight="1" thickBot="1" x14ac:dyDescent="0.3">
      <c r="A13" s="176" t="s">
        <v>362</v>
      </c>
      <c r="B13" s="176" t="s">
        <v>255</v>
      </c>
      <c r="C13" s="176" t="s">
        <v>106</v>
      </c>
      <c r="D13" s="176" t="s">
        <v>4</v>
      </c>
      <c r="E13" s="178"/>
      <c r="F13" s="178"/>
      <c r="G13" s="176">
        <v>6431</v>
      </c>
      <c r="H13" s="304" t="s">
        <v>440</v>
      </c>
      <c r="I13" s="176" t="s">
        <v>221</v>
      </c>
      <c r="J13" s="301" t="s">
        <v>434</v>
      </c>
      <c r="L13" s="420" t="s">
        <v>167</v>
      </c>
      <c r="M13" s="441"/>
      <c r="N13" s="421"/>
      <c r="O13" s="51">
        <v>2500</v>
      </c>
    </row>
    <row r="14" spans="1:29" ht="24.6" customHeight="1" thickBot="1" x14ac:dyDescent="0.3">
      <c r="A14" s="176" t="s">
        <v>374</v>
      </c>
      <c r="B14" s="176" t="s">
        <v>267</v>
      </c>
      <c r="C14" s="176" t="s">
        <v>252</v>
      </c>
      <c r="D14" s="176" t="s">
        <v>11</v>
      </c>
      <c r="E14" s="178"/>
      <c r="F14" s="178"/>
      <c r="G14" s="176">
        <v>1788</v>
      </c>
      <c r="H14" s="304" t="s">
        <v>441</v>
      </c>
      <c r="I14" s="176" t="s">
        <v>163</v>
      </c>
      <c r="J14" s="301" t="s">
        <v>434</v>
      </c>
      <c r="L14" s="438" t="s">
        <v>263</v>
      </c>
      <c r="M14" s="439"/>
      <c r="N14" s="440"/>
      <c r="O14" s="52">
        <f>N12/O13</f>
        <v>224.44399999999999</v>
      </c>
    </row>
    <row r="15" spans="1:29" ht="24" x14ac:dyDescent="0.25">
      <c r="A15" s="176" t="s">
        <v>374</v>
      </c>
      <c r="B15" s="176" t="s">
        <v>267</v>
      </c>
      <c r="C15" s="176" t="s">
        <v>252</v>
      </c>
      <c r="D15" s="176" t="s">
        <v>11</v>
      </c>
      <c r="E15" s="178"/>
      <c r="F15" s="178"/>
      <c r="G15" s="176">
        <v>200</v>
      </c>
      <c r="H15" s="304" t="s">
        <v>442</v>
      </c>
      <c r="I15" s="176" t="s">
        <v>429</v>
      </c>
      <c r="J15" s="301" t="s">
        <v>428</v>
      </c>
    </row>
    <row r="16" spans="1:29" ht="15.75" thickBot="1" x14ac:dyDescent="0.3">
      <c r="A16" s="176"/>
      <c r="B16" s="176"/>
      <c r="C16" s="176"/>
      <c r="D16" s="176"/>
      <c r="E16" s="178"/>
      <c r="F16" s="178"/>
      <c r="G16" s="176"/>
      <c r="H16" s="304"/>
      <c r="I16" s="176"/>
      <c r="J16" s="301"/>
      <c r="O16" s="119"/>
      <c r="P16" s="119"/>
    </row>
    <row r="17" spans="1:26" ht="29.45" customHeight="1" thickBot="1" x14ac:dyDescent="0.3">
      <c r="A17" s="176"/>
      <c r="B17" s="176"/>
      <c r="C17" s="176"/>
      <c r="D17" s="176"/>
      <c r="E17" s="178"/>
      <c r="F17" s="178"/>
      <c r="G17" s="176"/>
      <c r="H17" s="304"/>
      <c r="I17" s="176"/>
      <c r="J17" s="301"/>
      <c r="L17" s="435" t="s">
        <v>264</v>
      </c>
      <c r="M17" s="436"/>
      <c r="N17" s="437"/>
      <c r="O17" s="446" t="s">
        <v>212</v>
      </c>
      <c r="P17" s="433" t="s">
        <v>213</v>
      </c>
    </row>
    <row r="18" spans="1:26" ht="15.75" thickBot="1" x14ac:dyDescent="0.3">
      <c r="A18" s="176"/>
      <c r="B18" s="176"/>
      <c r="C18" s="176"/>
      <c r="D18" s="176"/>
      <c r="E18" s="178"/>
      <c r="F18" s="178"/>
      <c r="G18" s="176"/>
      <c r="H18" s="304"/>
      <c r="I18" s="176"/>
      <c r="J18" s="301"/>
      <c r="L18" s="33"/>
      <c r="M18" s="131" t="s">
        <v>162</v>
      </c>
      <c r="N18" s="131" t="s">
        <v>265</v>
      </c>
      <c r="O18" s="447"/>
      <c r="P18" s="434"/>
    </row>
    <row r="19" spans="1:26" x14ac:dyDescent="0.25">
      <c r="A19" s="176"/>
      <c r="B19" s="176"/>
      <c r="C19" s="176"/>
      <c r="D19" s="176"/>
      <c r="E19" s="178"/>
      <c r="F19" s="178"/>
      <c r="G19" s="176"/>
      <c r="H19" s="304"/>
      <c r="I19" s="176"/>
      <c r="J19" s="301"/>
      <c r="L19" s="43" t="s">
        <v>106</v>
      </c>
      <c r="M19" s="206">
        <f>SUMIFS(G4:G543,D4:D543,"*17 01*",C4:C543,"*Inert*")+SUMIFS(G4:G543,D4:D543,"*17 02*",C4:C543,"*Inert*")+SUMIFS(G4:G543,D4:D543,"*17 03*",C4:C543,"*Inert*")+SUMIFS(G4:G543,D4:D543,"*17 04*",C4:C543,"*Inert*")+SUMIFS(G4:G543,D4:D543,"*17 06*",C4:C543,"*Inert*")+SUMIFS(G4:G543,D4:D543,"*17 08*",C4:C543,"*Inert*")+SUMIFS(G4:G543,D4:D543,"*17 09*",C4:C543,"*Inert*")</f>
        <v>550518</v>
      </c>
      <c r="N19" s="207">
        <f>M19/M22</f>
        <v>0.98112313093689296</v>
      </c>
      <c r="O19" s="212">
        <v>15</v>
      </c>
      <c r="P19" s="209">
        <f>(M19/1000)*O19</f>
        <v>8257.77</v>
      </c>
    </row>
    <row r="20" spans="1:26" ht="16.5" customHeight="1" x14ac:dyDescent="0.25">
      <c r="A20" s="176"/>
      <c r="B20" s="176"/>
      <c r="C20" s="176"/>
      <c r="D20" s="176"/>
      <c r="E20" s="178"/>
      <c r="F20" s="178"/>
      <c r="G20" s="176"/>
      <c r="H20" s="304"/>
      <c r="I20" s="176"/>
      <c r="J20" s="301"/>
      <c r="L20" s="43" t="s">
        <v>211</v>
      </c>
      <c r="M20" s="206">
        <f>SUMIFS(G4:G543,D4:D543,"*17 01*",C4:C543,"*Non-haz*")+SUMIFS(G4:G543,D4:D543,"*17 02*",C4:C543,"*Non-haz*")+SUMIFS(G4:G543,D4:D543,"*17 03*",C4:C543,"*Non-haz*")+SUMIFS(G4:G543,D4:D543,"*17 04*",C4:C543,"*Non-haz*")+SUMIFS(G4:G543,D4:D543,"*17 06*",C4:C543,"*Non-haz*")+SUMIFS(G4:G543,D4:D543,"*17 08*",C4:C543,"*Non-haz*")+SUMIFS(G4:G543,D4:D543,"*17 09*",C4:C543,"*Non-haz*")</f>
        <v>9140</v>
      </c>
      <c r="N20" s="207">
        <f>M20/M22</f>
        <v>1.6289141166616172E-2</v>
      </c>
      <c r="O20" s="213">
        <v>90</v>
      </c>
      <c r="P20" s="210">
        <f>(M20/1000)*O20</f>
        <v>822.6</v>
      </c>
    </row>
    <row r="21" spans="1:26" ht="15.75" thickBot="1" x14ac:dyDescent="0.3">
      <c r="A21" s="176"/>
      <c r="B21" s="176"/>
      <c r="C21" s="176"/>
      <c r="D21" s="176"/>
      <c r="E21" s="178"/>
      <c r="F21" s="178"/>
      <c r="G21" s="176"/>
      <c r="H21" s="304"/>
      <c r="I21" s="176"/>
      <c r="J21" s="301"/>
      <c r="L21" s="44" t="s">
        <v>241</v>
      </c>
      <c r="M21" s="296">
        <f>SUMIFS(G4:G543,D4:D543,"*17 01*",C4:C543,"Hazardous")+SUMIFS(G4:G543,D4:D543,"*17 02*",C4:C543,"Hazardous")+SUMIFS(G4:G543,D4:D543,"*17 03*",C4:C543,"Hazardous")+SUMIFS(G4:G543,D4:D543,"*17 04*",C4:C543,"Hazardous")+SUMIFS(G4:G543,D4:D543,"*17 06*",C4:C543,"Hazardous")+SUMIFS(G4:G543,D4:D543,"*17 08*",C4:C543,"Hazardous")+SUMIFS(G4:G543,D4:D543,"*17 09*",C4:C543,"Hazardous")</f>
        <v>1452</v>
      </c>
      <c r="N21" s="297">
        <f>M21/M22</f>
        <v>2.5877278964908843E-3</v>
      </c>
      <c r="O21" s="214">
        <v>310</v>
      </c>
      <c r="P21" s="211">
        <f>(M21/1000)*O21</f>
        <v>450.12</v>
      </c>
    </row>
    <row r="22" spans="1:26" ht="16.5" customHeight="1" thickBot="1" x14ac:dyDescent="0.3">
      <c r="A22" s="176"/>
      <c r="B22" s="176"/>
      <c r="C22" s="176"/>
      <c r="D22" s="176"/>
      <c r="E22" s="178"/>
      <c r="F22" s="178"/>
      <c r="G22" s="176"/>
      <c r="H22" s="304"/>
      <c r="I22" s="176"/>
      <c r="J22" s="301"/>
      <c r="L22" s="45" t="s">
        <v>214</v>
      </c>
      <c r="M22" s="32">
        <f>SUM(M19:M21)</f>
        <v>561110</v>
      </c>
      <c r="N22" s="36">
        <f>M22/N12</f>
        <v>1</v>
      </c>
      <c r="P22" s="49">
        <f>SUM(P19:P21)</f>
        <v>9530.4900000000016</v>
      </c>
    </row>
    <row r="23" spans="1:26" ht="15.75" thickBot="1" x14ac:dyDescent="0.3">
      <c r="A23" s="176"/>
      <c r="B23" s="176"/>
      <c r="C23" s="176"/>
      <c r="D23" s="176"/>
      <c r="E23" s="178"/>
      <c r="F23" s="178"/>
      <c r="G23" s="176"/>
      <c r="H23" s="304"/>
      <c r="I23" s="176"/>
      <c r="J23" s="301"/>
    </row>
    <row r="24" spans="1:26" ht="15" customHeight="1" thickBot="1" x14ac:dyDescent="0.3">
      <c r="A24" s="176"/>
      <c r="B24" s="176"/>
      <c r="C24" s="176"/>
      <c r="D24" s="176"/>
      <c r="E24" s="178"/>
      <c r="F24" s="178"/>
      <c r="G24" s="176"/>
      <c r="H24" s="304"/>
      <c r="I24" s="176"/>
      <c r="J24" s="301"/>
      <c r="L24" s="153" t="s">
        <v>119</v>
      </c>
      <c r="M24" s="154"/>
      <c r="N24" s="53" t="s">
        <v>162</v>
      </c>
      <c r="O24" s="116" t="s">
        <v>122</v>
      </c>
    </row>
    <row r="25" spans="1:26" x14ac:dyDescent="0.25">
      <c r="A25" s="176"/>
      <c r="B25" s="176"/>
      <c r="C25" s="176"/>
      <c r="D25" s="176"/>
      <c r="E25" s="178"/>
      <c r="F25" s="178"/>
      <c r="G25" s="176"/>
      <c r="H25" s="304"/>
      <c r="I25" s="176"/>
      <c r="J25" s="301"/>
      <c r="L25" s="120" t="s">
        <v>204</v>
      </c>
      <c r="M25" s="121"/>
      <c r="N25" s="54">
        <f>SUMIFS(G4:G543,D4:D543,"*16 02*")+SUMIFS(G4:G543,D4:D543,"*20 01*")</f>
        <v>48.75</v>
      </c>
      <c r="O25" s="55">
        <f>N25/N25</f>
        <v>1</v>
      </c>
    </row>
    <row r="26" spans="1:26" x14ac:dyDescent="0.25">
      <c r="A26" s="176"/>
      <c r="B26" s="176"/>
      <c r="C26" s="176"/>
      <c r="D26" s="176"/>
      <c r="E26" s="178"/>
      <c r="F26" s="178"/>
      <c r="G26" s="176"/>
      <c r="H26" s="304"/>
      <c r="I26" s="176"/>
      <c r="J26" s="301"/>
      <c r="L26" s="122" t="s">
        <v>205</v>
      </c>
      <c r="M26" s="123"/>
      <c r="N26" s="56">
        <f>SUMIFS(G4:G543,D4:D543,"*16 02*",I4:I543,"*reuse*")+SUMIFS(G4:G543,D4:D543,"*20 01*",I4:I543,"*reuse*")</f>
        <v>0</v>
      </c>
      <c r="O26" s="57">
        <f>N26/N25</f>
        <v>0</v>
      </c>
    </row>
    <row r="27" spans="1:26" ht="17.25" customHeight="1" thickBot="1" x14ac:dyDescent="0.3">
      <c r="A27" s="176"/>
      <c r="B27" s="176"/>
      <c r="C27" s="176"/>
      <c r="D27" s="176"/>
      <c r="E27" s="178"/>
      <c r="F27" s="178"/>
      <c r="G27" s="176"/>
      <c r="H27" s="304"/>
      <c r="I27" s="176"/>
      <c r="J27" s="301"/>
      <c r="L27" s="124" t="s">
        <v>206</v>
      </c>
      <c r="M27" s="125"/>
      <c r="N27" s="58">
        <f>SUMIFS(G4:G543,D4:D543,"*16 02*",I4:I543,"WEEE facility")+SUMIFS(G4:G543,D4:D543,"*20 01*",I4:I543,"WEEE facility")</f>
        <v>48.75</v>
      </c>
      <c r="O27" s="59">
        <f>N27/N25</f>
        <v>1</v>
      </c>
    </row>
    <row r="28" spans="1:26" ht="15.75" thickBot="1" x14ac:dyDescent="0.3">
      <c r="A28" s="176"/>
      <c r="B28" s="176"/>
      <c r="C28" s="176"/>
      <c r="D28" s="176"/>
      <c r="E28" s="178"/>
      <c r="F28" s="178"/>
      <c r="G28" s="176"/>
      <c r="H28" s="304"/>
      <c r="I28" s="176"/>
      <c r="J28" s="301"/>
    </row>
    <row r="29" spans="1:26" ht="15.75" thickBot="1" x14ac:dyDescent="0.3">
      <c r="A29" s="176"/>
      <c r="B29" s="176"/>
      <c r="C29" s="176"/>
      <c r="D29" s="176"/>
      <c r="E29" s="178"/>
      <c r="F29" s="178"/>
      <c r="G29" s="176"/>
      <c r="H29" s="304"/>
      <c r="I29" s="176"/>
      <c r="J29" s="301"/>
      <c r="L29" s="145" t="s">
        <v>275</v>
      </c>
      <c r="M29" s="146"/>
      <c r="N29" s="65" t="s">
        <v>162</v>
      </c>
      <c r="O29" s="65" t="s">
        <v>115</v>
      </c>
      <c r="P29" s="115" t="s">
        <v>122</v>
      </c>
    </row>
    <row r="30" spans="1:26" ht="18" customHeight="1" x14ac:dyDescent="0.25">
      <c r="A30" s="176"/>
      <c r="B30" s="176"/>
      <c r="C30" s="176"/>
      <c r="D30" s="176"/>
      <c r="E30" s="178"/>
      <c r="F30" s="178"/>
      <c r="G30" s="176"/>
      <c r="H30" s="304"/>
      <c r="I30" s="176"/>
      <c r="J30" s="301"/>
      <c r="L30" s="126" t="s">
        <v>204</v>
      </c>
      <c r="M30" s="127"/>
      <c r="N30" s="118">
        <f>SUMIF(D4:D543,"*17 05*",G4:G543)</f>
        <v>56478</v>
      </c>
      <c r="O30" s="66">
        <f>N30/1000</f>
        <v>56.478000000000002</v>
      </c>
      <c r="P30" s="67">
        <f>O30/O30</f>
        <v>1</v>
      </c>
    </row>
    <row r="31" spans="1:26" x14ac:dyDescent="0.25">
      <c r="A31" s="176"/>
      <c r="B31" s="176"/>
      <c r="C31" s="176"/>
      <c r="D31" s="176"/>
      <c r="E31" s="178"/>
      <c r="F31" s="178"/>
      <c r="G31" s="176"/>
      <c r="H31" s="304"/>
      <c r="I31" s="176"/>
      <c r="J31" s="301"/>
      <c r="L31" s="126" t="s">
        <v>208</v>
      </c>
      <c r="M31" s="127"/>
      <c r="N31" s="117">
        <f>SUMIFS(G4:G543,D4:D543,"*17 05*",C4:C543,"*Non-haz*")+SUMIFS(G4:G543,D4:D543,"*17 05*",C4:C543,"*inert*")</f>
        <v>0</v>
      </c>
      <c r="O31" s="68">
        <f t="shared" ref="O31:O33" si="2">N31/1000</f>
        <v>0</v>
      </c>
      <c r="P31" s="69">
        <f>O31/O30</f>
        <v>0</v>
      </c>
    </row>
    <row r="32" spans="1:26" x14ac:dyDescent="0.25">
      <c r="A32" s="176"/>
      <c r="B32" s="176"/>
      <c r="C32" s="176"/>
      <c r="D32" s="176"/>
      <c r="E32" s="178"/>
      <c r="F32" s="178"/>
      <c r="G32" s="176"/>
      <c r="H32" s="304"/>
      <c r="I32" s="176"/>
      <c r="J32" s="301"/>
      <c r="L32" s="126" t="s">
        <v>207</v>
      </c>
      <c r="M32" s="127"/>
      <c r="N32" s="117">
        <f>SUMIFS(G4:G543,D4:D543,"*17 05*",C4:C543,"Hazardous")</f>
        <v>56478</v>
      </c>
      <c r="O32" s="68">
        <f t="shared" si="2"/>
        <v>56.478000000000002</v>
      </c>
      <c r="P32" s="69">
        <f>O32/O30</f>
        <v>1</v>
      </c>
      <c r="Z32" s="3"/>
    </row>
    <row r="33" spans="1:26" ht="15.75" thickBot="1" x14ac:dyDescent="0.3">
      <c r="A33" s="176"/>
      <c r="B33" s="176"/>
      <c r="C33" s="176"/>
      <c r="D33" s="176"/>
      <c r="E33" s="178"/>
      <c r="F33" s="178"/>
      <c r="G33" s="176"/>
      <c r="H33" s="304"/>
      <c r="I33" s="176"/>
      <c r="J33" s="301"/>
      <c r="L33" s="128" t="s">
        <v>209</v>
      </c>
      <c r="M33" s="129"/>
      <c r="N33" s="113">
        <f>SUMIFS(G4:G543,D4:D543,"*17 05*",I4:I543,"*onsite*")</f>
        <v>0</v>
      </c>
      <c r="O33" s="70">
        <f t="shared" si="2"/>
        <v>0</v>
      </c>
      <c r="P33" s="71">
        <f>O33/O30</f>
        <v>0</v>
      </c>
      <c r="Z33" s="3"/>
    </row>
    <row r="34" spans="1:26" x14ac:dyDescent="0.25">
      <c r="A34" s="176"/>
      <c r="B34" s="176"/>
      <c r="C34" s="176"/>
      <c r="D34" s="176"/>
      <c r="E34" s="178"/>
      <c r="F34" s="178"/>
      <c r="G34" s="176"/>
      <c r="H34" s="304"/>
      <c r="I34" s="176"/>
      <c r="J34" s="301"/>
      <c r="Q34" s="10"/>
      <c r="R34" s="10"/>
      <c r="S34" s="10"/>
      <c r="T34" s="10"/>
      <c r="U34" s="11"/>
      <c r="V34" s="11"/>
      <c r="X34" s="9"/>
      <c r="Z34" s="3"/>
    </row>
    <row r="35" spans="1:26" x14ac:dyDescent="0.25">
      <c r="A35" s="176"/>
      <c r="B35" s="176"/>
      <c r="C35" s="176"/>
      <c r="D35" s="176"/>
      <c r="E35" s="178"/>
      <c r="F35" s="178"/>
      <c r="G35" s="176"/>
      <c r="H35" s="304"/>
      <c r="I35" s="176"/>
      <c r="J35" s="301"/>
      <c r="Q35" s="3"/>
      <c r="R35" s="3"/>
      <c r="S35" s="3"/>
      <c r="T35" s="3"/>
      <c r="U35" s="3"/>
      <c r="V35" s="3"/>
      <c r="Y35" s="3"/>
      <c r="Z35" s="3"/>
    </row>
    <row r="36" spans="1:26" x14ac:dyDescent="0.25">
      <c r="A36" s="176"/>
      <c r="B36" s="176"/>
      <c r="C36" s="176"/>
      <c r="D36" s="176"/>
      <c r="E36" s="178"/>
      <c r="F36" s="178"/>
      <c r="G36" s="176"/>
      <c r="H36" s="304"/>
      <c r="I36" s="176"/>
      <c r="J36" s="301"/>
      <c r="L36" s="10" t="s">
        <v>149</v>
      </c>
      <c r="M36" s="3" t="s">
        <v>88</v>
      </c>
      <c r="N36" s="3"/>
      <c r="O36" s="3" t="s">
        <v>106</v>
      </c>
      <c r="P36" s="3" t="s">
        <v>175</v>
      </c>
      <c r="Q36" s="3"/>
      <c r="R36" s="3"/>
      <c r="S36" s="3"/>
      <c r="T36" s="3"/>
      <c r="U36" s="3"/>
      <c r="V36" s="3"/>
      <c r="W36" s="12" t="s">
        <v>429</v>
      </c>
      <c r="Y36" s="3"/>
      <c r="Z36" s="3"/>
    </row>
    <row r="37" spans="1:26" x14ac:dyDescent="0.25">
      <c r="A37" s="176"/>
      <c r="B37" s="176"/>
      <c r="C37" s="176"/>
      <c r="D37" s="176"/>
      <c r="E37" s="178"/>
      <c r="F37" s="178"/>
      <c r="G37" s="176"/>
      <c r="H37" s="304"/>
      <c r="I37" s="176"/>
      <c r="J37" s="301"/>
      <c r="L37" s="3" t="s">
        <v>79</v>
      </c>
      <c r="M37" s="3" t="s">
        <v>89</v>
      </c>
      <c r="N37" s="3"/>
      <c r="O37" s="3" t="s">
        <v>252</v>
      </c>
      <c r="P37" s="3" t="s">
        <v>179</v>
      </c>
      <c r="Q37" s="3"/>
      <c r="R37" s="3"/>
      <c r="S37" s="3"/>
      <c r="T37" s="3"/>
      <c r="U37" s="3"/>
      <c r="V37" s="3"/>
      <c r="W37" s="4" t="s">
        <v>430</v>
      </c>
      <c r="Y37" s="3"/>
      <c r="Z37" s="3"/>
    </row>
    <row r="38" spans="1:26" x14ac:dyDescent="0.25">
      <c r="A38" s="176"/>
      <c r="B38" s="176"/>
      <c r="C38" s="176"/>
      <c r="D38" s="176"/>
      <c r="E38" s="178"/>
      <c r="F38" s="178"/>
      <c r="G38" s="176"/>
      <c r="H38" s="304"/>
      <c r="I38" s="176"/>
      <c r="J38" s="301"/>
      <c r="L38" s="3" t="s">
        <v>76</v>
      </c>
      <c r="M38" s="3" t="s">
        <v>90</v>
      </c>
      <c r="O38" s="3" t="s">
        <v>0</v>
      </c>
      <c r="P38" s="3" t="s">
        <v>181</v>
      </c>
      <c r="Q38" s="3"/>
      <c r="R38" s="3"/>
      <c r="S38" s="3"/>
      <c r="T38" s="3"/>
      <c r="U38" s="3"/>
      <c r="V38" s="3"/>
      <c r="W38" s="4" t="s">
        <v>223</v>
      </c>
      <c r="Y38" s="3"/>
      <c r="Z38" s="3"/>
    </row>
    <row r="39" spans="1:26" x14ac:dyDescent="0.25">
      <c r="A39" s="176"/>
      <c r="B39" s="176"/>
      <c r="C39" s="176"/>
      <c r="D39" s="176"/>
      <c r="E39" s="178"/>
      <c r="F39" s="178"/>
      <c r="G39" s="176"/>
      <c r="H39" s="304"/>
      <c r="I39" s="176"/>
      <c r="J39" s="301"/>
      <c r="L39" s="3" t="s">
        <v>87</v>
      </c>
      <c r="M39" s="3" t="s">
        <v>91</v>
      </c>
      <c r="O39" s="3"/>
      <c r="P39" s="3" t="s">
        <v>183</v>
      </c>
      <c r="Q39" s="3"/>
      <c r="R39" s="3"/>
      <c r="S39" s="3"/>
      <c r="T39" s="3"/>
      <c r="U39" s="3"/>
      <c r="V39" s="3"/>
      <c r="W39" s="3" t="s">
        <v>402</v>
      </c>
      <c r="Y39" s="3"/>
      <c r="Z39" s="3"/>
    </row>
    <row r="40" spans="1:26" x14ac:dyDescent="0.25">
      <c r="A40" s="176"/>
      <c r="B40" s="176"/>
      <c r="C40" s="176"/>
      <c r="D40" s="176"/>
      <c r="E40" s="178"/>
      <c r="F40" s="178"/>
      <c r="G40" s="176"/>
      <c r="H40" s="304"/>
      <c r="I40" s="176"/>
      <c r="J40" s="301"/>
      <c r="L40" s="10" t="s">
        <v>242</v>
      </c>
      <c r="M40" s="3" t="s">
        <v>99</v>
      </c>
      <c r="O40" s="3"/>
      <c r="P40" s="3" t="s">
        <v>185</v>
      </c>
      <c r="Q40" s="3"/>
      <c r="R40" s="3"/>
      <c r="S40" s="3"/>
      <c r="T40" s="3"/>
      <c r="U40" s="3"/>
      <c r="V40" s="3"/>
      <c r="W40" s="3" t="s">
        <v>403</v>
      </c>
      <c r="Y40" s="3"/>
      <c r="Z40" s="3"/>
    </row>
    <row r="41" spans="1:26" x14ac:dyDescent="0.25">
      <c r="A41" s="176"/>
      <c r="B41" s="176"/>
      <c r="C41" s="176"/>
      <c r="D41" s="176"/>
      <c r="E41" s="178"/>
      <c r="F41" s="178"/>
      <c r="G41" s="176"/>
      <c r="H41" s="304"/>
      <c r="I41" s="176"/>
      <c r="J41" s="301"/>
      <c r="L41" s="3" t="s">
        <v>243</v>
      </c>
      <c r="M41" s="3" t="s">
        <v>92</v>
      </c>
      <c r="O41" s="3"/>
      <c r="P41" s="3" t="s">
        <v>186</v>
      </c>
      <c r="Q41" s="3"/>
      <c r="R41" s="3"/>
      <c r="S41" s="3"/>
      <c r="T41" s="3"/>
      <c r="U41" s="3"/>
      <c r="V41" s="3"/>
      <c r="W41" s="3" t="s">
        <v>404</v>
      </c>
      <c r="Y41" s="3"/>
      <c r="Z41" s="3"/>
    </row>
    <row r="42" spans="1:26" x14ac:dyDescent="0.25">
      <c r="A42" s="176"/>
      <c r="B42" s="176"/>
      <c r="C42" s="176"/>
      <c r="D42" s="176"/>
      <c r="E42" s="178"/>
      <c r="F42" s="178"/>
      <c r="G42" s="176"/>
      <c r="H42" s="304"/>
      <c r="I42" s="176"/>
      <c r="J42" s="301"/>
      <c r="L42" s="106" t="s">
        <v>356</v>
      </c>
      <c r="M42" s="3" t="s">
        <v>93</v>
      </c>
      <c r="O42" s="3"/>
      <c r="P42" s="3" t="s">
        <v>187</v>
      </c>
      <c r="Q42" s="3"/>
      <c r="R42" s="3"/>
      <c r="S42" s="3"/>
      <c r="T42" s="3"/>
      <c r="U42" s="3"/>
      <c r="V42" s="3"/>
      <c r="W42" s="3" t="s">
        <v>405</v>
      </c>
      <c r="Y42" s="3"/>
      <c r="Z42" s="3"/>
    </row>
    <row r="43" spans="1:26" x14ac:dyDescent="0.25">
      <c r="A43" s="176"/>
      <c r="B43" s="176"/>
      <c r="C43" s="176"/>
      <c r="D43" s="176"/>
      <c r="E43" s="178"/>
      <c r="F43" s="178"/>
      <c r="G43" s="176"/>
      <c r="H43" s="304"/>
      <c r="I43" s="176"/>
      <c r="J43" s="301"/>
      <c r="L43" s="106" t="s">
        <v>357</v>
      </c>
      <c r="M43" s="3" t="s">
        <v>94</v>
      </c>
      <c r="O43" s="3"/>
      <c r="P43" s="3" t="s">
        <v>215</v>
      </c>
      <c r="Q43" s="3"/>
      <c r="R43" s="3"/>
      <c r="S43" s="3"/>
      <c r="T43" s="3"/>
      <c r="U43" s="3"/>
      <c r="V43" s="3"/>
      <c r="W43" s="3" t="s">
        <v>221</v>
      </c>
      <c r="Y43" s="3"/>
      <c r="Z43" s="3"/>
    </row>
    <row r="44" spans="1:26" x14ac:dyDescent="0.25">
      <c r="A44" s="176"/>
      <c r="B44" s="176"/>
      <c r="C44" s="176"/>
      <c r="D44" s="176"/>
      <c r="E44" s="178"/>
      <c r="F44" s="178"/>
      <c r="G44" s="176"/>
      <c r="H44" s="304"/>
      <c r="I44" s="176"/>
      <c r="J44" s="301"/>
      <c r="L44" s="106" t="s">
        <v>358</v>
      </c>
      <c r="M44" s="3" t="s">
        <v>95</v>
      </c>
      <c r="O44" s="3"/>
      <c r="P44" s="3" t="s">
        <v>4</v>
      </c>
      <c r="Q44" s="3"/>
      <c r="R44" s="3"/>
      <c r="S44" s="3"/>
      <c r="T44" s="3"/>
      <c r="U44" s="3"/>
      <c r="V44" s="3"/>
      <c r="W44" s="3" t="s">
        <v>222</v>
      </c>
      <c r="Y44" s="3"/>
      <c r="Z44" s="3"/>
    </row>
    <row r="45" spans="1:26" x14ac:dyDescent="0.25">
      <c r="A45" s="176"/>
      <c r="B45" s="176"/>
      <c r="C45" s="176"/>
      <c r="D45" s="176"/>
      <c r="E45" s="178"/>
      <c r="F45" s="178"/>
      <c r="G45" s="176"/>
      <c r="H45" s="304"/>
      <c r="I45" s="176"/>
      <c r="J45" s="301"/>
      <c r="L45" s="106" t="s">
        <v>359</v>
      </c>
      <c r="M45" s="3" t="s">
        <v>96</v>
      </c>
      <c r="O45" s="3"/>
      <c r="P45" s="3" t="s">
        <v>5</v>
      </c>
      <c r="Q45" s="3"/>
      <c r="R45" s="3"/>
      <c r="S45" s="3"/>
      <c r="T45" s="3"/>
      <c r="U45" s="3"/>
      <c r="V45" s="3"/>
      <c r="W45" s="3" t="s">
        <v>163</v>
      </c>
      <c r="Y45" s="3"/>
      <c r="Z45" s="3"/>
    </row>
    <row r="46" spans="1:26" x14ac:dyDescent="0.25">
      <c r="A46" s="176"/>
      <c r="B46" s="176"/>
      <c r="C46" s="176"/>
      <c r="D46" s="176"/>
      <c r="E46" s="178"/>
      <c r="F46" s="178"/>
      <c r="G46" s="176"/>
      <c r="H46" s="304"/>
      <c r="I46" s="176"/>
      <c r="J46" s="301"/>
      <c r="L46" s="106" t="s">
        <v>360</v>
      </c>
      <c r="M46" s="3" t="s">
        <v>97</v>
      </c>
      <c r="O46" s="3"/>
      <c r="P46" s="3" t="s">
        <v>6</v>
      </c>
      <c r="Q46" s="3"/>
      <c r="R46" s="3"/>
      <c r="S46" s="3"/>
      <c r="T46" s="3"/>
      <c r="U46" s="3"/>
      <c r="V46" s="3"/>
      <c r="W46" s="3" t="s">
        <v>164</v>
      </c>
      <c r="Y46" s="3"/>
      <c r="Z46" s="3"/>
    </row>
    <row r="47" spans="1:26" x14ac:dyDescent="0.25">
      <c r="A47" s="176"/>
      <c r="B47" s="176"/>
      <c r="C47" s="176"/>
      <c r="D47" s="176"/>
      <c r="E47" s="178"/>
      <c r="F47" s="178"/>
      <c r="G47" s="176"/>
      <c r="H47" s="304"/>
      <c r="I47" s="176"/>
      <c r="J47" s="301"/>
      <c r="L47" s="106" t="s">
        <v>361</v>
      </c>
      <c r="M47" s="3" t="s">
        <v>98</v>
      </c>
      <c r="O47" s="3"/>
      <c r="P47" s="3" t="s">
        <v>63</v>
      </c>
      <c r="Q47" s="3"/>
      <c r="R47" s="3"/>
      <c r="S47" s="3"/>
      <c r="T47" s="3"/>
      <c r="U47" s="3"/>
      <c r="V47" s="3"/>
      <c r="W47" s="3" t="s">
        <v>107</v>
      </c>
      <c r="Y47" s="3"/>
      <c r="Z47" s="3"/>
    </row>
    <row r="48" spans="1:26" x14ac:dyDescent="0.25">
      <c r="A48" s="176"/>
      <c r="B48" s="176"/>
      <c r="C48" s="176"/>
      <c r="D48" s="176"/>
      <c r="E48" s="178"/>
      <c r="F48" s="178"/>
      <c r="G48" s="176"/>
      <c r="H48" s="304"/>
      <c r="I48" s="176"/>
      <c r="J48" s="301"/>
      <c r="L48" s="106" t="s">
        <v>362</v>
      </c>
      <c r="M48" s="3" t="s">
        <v>100</v>
      </c>
      <c r="O48" s="3"/>
      <c r="P48" s="3" t="s">
        <v>7</v>
      </c>
      <c r="Q48" s="3"/>
      <c r="R48" s="3"/>
      <c r="S48" s="3"/>
      <c r="T48" s="3"/>
      <c r="U48" s="3"/>
      <c r="V48" s="3"/>
      <c r="W48" s="3" t="s">
        <v>108</v>
      </c>
      <c r="Y48" s="3"/>
      <c r="Z48" s="3"/>
    </row>
    <row r="49" spans="1:26" x14ac:dyDescent="0.25">
      <c r="A49" s="176"/>
      <c r="B49" s="176"/>
      <c r="C49" s="176"/>
      <c r="D49" s="176"/>
      <c r="E49" s="178"/>
      <c r="F49" s="178"/>
      <c r="G49" s="176"/>
      <c r="H49" s="304"/>
      <c r="I49" s="176"/>
      <c r="J49" s="301"/>
      <c r="L49" s="106" t="s">
        <v>363</v>
      </c>
      <c r="M49" s="3" t="s">
        <v>112</v>
      </c>
      <c r="O49" s="3"/>
      <c r="P49" s="3" t="s">
        <v>10</v>
      </c>
      <c r="Q49" s="3"/>
      <c r="R49" s="3"/>
      <c r="S49" s="3"/>
      <c r="T49" s="3"/>
      <c r="U49" s="3"/>
      <c r="V49" s="3"/>
      <c r="W49" s="3" t="s">
        <v>110</v>
      </c>
      <c r="Y49" s="3"/>
      <c r="Z49" s="3"/>
    </row>
    <row r="50" spans="1:26" x14ac:dyDescent="0.25">
      <c r="A50" s="176"/>
      <c r="B50" s="176"/>
      <c r="C50" s="176"/>
      <c r="D50" s="176"/>
      <c r="E50" s="178"/>
      <c r="F50" s="178"/>
      <c r="G50" s="176"/>
      <c r="H50" s="304"/>
      <c r="I50" s="176"/>
      <c r="J50" s="301"/>
      <c r="L50" s="106" t="s">
        <v>364</v>
      </c>
      <c r="M50" s="3" t="s">
        <v>101</v>
      </c>
      <c r="O50" s="3"/>
      <c r="P50" s="3" t="s">
        <v>11</v>
      </c>
      <c r="Q50" s="3"/>
      <c r="R50" s="3"/>
      <c r="S50" s="3"/>
      <c r="T50" s="3"/>
      <c r="U50" s="3"/>
      <c r="V50" s="3"/>
      <c r="W50" s="3" t="s">
        <v>109</v>
      </c>
      <c r="Y50" s="3"/>
      <c r="Z50" s="3"/>
    </row>
    <row r="51" spans="1:26" x14ac:dyDescent="0.25">
      <c r="A51" s="176"/>
      <c r="B51" s="176"/>
      <c r="C51" s="176"/>
      <c r="D51" s="176"/>
      <c r="E51" s="178"/>
      <c r="F51" s="178"/>
      <c r="G51" s="176"/>
      <c r="H51" s="304"/>
      <c r="I51" s="176"/>
      <c r="J51" s="301"/>
      <c r="L51" s="106" t="s">
        <v>365</v>
      </c>
      <c r="M51" s="3" t="s">
        <v>102</v>
      </c>
      <c r="O51" s="3"/>
      <c r="P51" s="3" t="s">
        <v>12</v>
      </c>
      <c r="Q51" s="3"/>
      <c r="R51" s="3"/>
      <c r="S51" s="3"/>
      <c r="T51" s="3"/>
      <c r="U51" s="3"/>
      <c r="V51" s="3"/>
      <c r="W51" s="3" t="s">
        <v>111</v>
      </c>
      <c r="Y51" s="3"/>
      <c r="Z51" s="3"/>
    </row>
    <row r="52" spans="1:26" x14ac:dyDescent="0.25">
      <c r="A52" s="176"/>
      <c r="B52" s="176"/>
      <c r="C52" s="176"/>
      <c r="D52" s="176"/>
      <c r="E52" s="178"/>
      <c r="F52" s="178"/>
      <c r="G52" s="176"/>
      <c r="H52" s="304"/>
      <c r="I52" s="176"/>
      <c r="J52" s="301"/>
      <c r="L52" s="106" t="s">
        <v>366</v>
      </c>
      <c r="M52" s="3" t="s">
        <v>103</v>
      </c>
      <c r="O52" s="3"/>
      <c r="P52" s="3" t="s">
        <v>64</v>
      </c>
      <c r="Q52" s="3"/>
      <c r="R52" s="3"/>
      <c r="S52" s="3"/>
      <c r="T52" s="3"/>
      <c r="U52" s="3"/>
      <c r="V52" s="3"/>
      <c r="Y52" s="3"/>
      <c r="Z52" s="3"/>
    </row>
    <row r="53" spans="1:26" x14ac:dyDescent="0.25">
      <c r="A53" s="176"/>
      <c r="B53" s="176"/>
      <c r="C53" s="176"/>
      <c r="D53" s="176"/>
      <c r="E53" s="178"/>
      <c r="F53" s="178"/>
      <c r="G53" s="176"/>
      <c r="H53" s="304"/>
      <c r="I53" s="176"/>
      <c r="J53" s="301"/>
      <c r="L53" s="106" t="s">
        <v>367</v>
      </c>
      <c r="M53" s="3" t="s">
        <v>104</v>
      </c>
      <c r="O53" s="3"/>
      <c r="P53" s="3" t="s">
        <v>65</v>
      </c>
      <c r="Q53" s="3"/>
      <c r="R53" s="3"/>
      <c r="S53" s="3"/>
      <c r="T53" s="3"/>
      <c r="U53" s="3"/>
      <c r="Y53" s="3"/>
      <c r="Z53" s="3"/>
    </row>
    <row r="54" spans="1:26" x14ac:dyDescent="0.25">
      <c r="A54" s="176"/>
      <c r="B54" s="176"/>
      <c r="C54" s="176"/>
      <c r="D54" s="176"/>
      <c r="E54" s="178"/>
      <c r="F54" s="178"/>
      <c r="G54" s="176"/>
      <c r="H54" s="304"/>
      <c r="I54" s="176"/>
      <c r="J54" s="301"/>
      <c r="L54" s="106" t="s">
        <v>368</v>
      </c>
      <c r="M54" s="3" t="s">
        <v>105</v>
      </c>
      <c r="O54" s="3"/>
      <c r="P54" s="3" t="s">
        <v>14</v>
      </c>
      <c r="Q54" s="3"/>
      <c r="R54" s="3"/>
      <c r="S54" s="3"/>
      <c r="T54" s="3"/>
      <c r="U54" s="3"/>
      <c r="W54" s="3"/>
      <c r="Y54" s="3"/>
      <c r="Z54" s="3"/>
    </row>
    <row r="55" spans="1:26" x14ac:dyDescent="0.25">
      <c r="A55" s="176"/>
      <c r="B55" s="176"/>
      <c r="C55" s="176"/>
      <c r="D55" s="176"/>
      <c r="E55" s="178"/>
      <c r="F55" s="178"/>
      <c r="G55" s="176"/>
      <c r="H55" s="304"/>
      <c r="I55" s="176"/>
      <c r="J55" s="301"/>
      <c r="L55" s="106" t="s">
        <v>244</v>
      </c>
      <c r="M55" s="3" t="s">
        <v>119</v>
      </c>
      <c r="O55" s="3"/>
      <c r="P55" s="3" t="s">
        <v>66</v>
      </c>
      <c r="Q55" s="3"/>
      <c r="R55" s="3"/>
      <c r="S55" s="3"/>
      <c r="T55" s="3"/>
      <c r="U55" s="3"/>
      <c r="V55" s="3"/>
      <c r="W55" s="3"/>
      <c r="Y55" s="3"/>
      <c r="Z55" s="3"/>
    </row>
    <row r="56" spans="1:26" x14ac:dyDescent="0.25">
      <c r="A56" s="176"/>
      <c r="B56" s="176"/>
      <c r="C56" s="176"/>
      <c r="D56" s="176"/>
      <c r="E56" s="178"/>
      <c r="F56" s="178"/>
      <c r="G56" s="176"/>
      <c r="H56" s="304"/>
      <c r="I56" s="176"/>
      <c r="J56" s="301"/>
      <c r="L56" s="106" t="s">
        <v>369</v>
      </c>
      <c r="M56" s="3"/>
      <c r="O56" s="3"/>
      <c r="P56" s="3" t="s">
        <v>16</v>
      </c>
      <c r="Q56" s="3"/>
      <c r="R56" s="3"/>
      <c r="S56" s="3"/>
      <c r="T56" s="3"/>
      <c r="U56" s="3"/>
      <c r="V56" s="3"/>
      <c r="W56" s="3"/>
      <c r="Y56" s="3"/>
      <c r="Z56" s="3"/>
    </row>
    <row r="57" spans="1:26" x14ac:dyDescent="0.25">
      <c r="A57" s="176"/>
      <c r="B57" s="176"/>
      <c r="C57" s="176"/>
      <c r="D57" s="176"/>
      <c r="E57" s="178"/>
      <c r="F57" s="178"/>
      <c r="G57" s="176"/>
      <c r="H57" s="304"/>
      <c r="I57" s="176"/>
      <c r="J57" s="301"/>
      <c r="L57" s="106" t="s">
        <v>370</v>
      </c>
      <c r="M57" s="3"/>
      <c r="O57" s="3"/>
      <c r="P57" s="3" t="s">
        <v>17</v>
      </c>
      <c r="Q57" s="3"/>
      <c r="R57" s="3"/>
      <c r="S57" s="3"/>
      <c r="T57" s="3"/>
      <c r="U57" s="3"/>
      <c r="V57" s="3"/>
      <c r="W57" s="3"/>
      <c r="Y57" s="3"/>
      <c r="Z57" s="3"/>
    </row>
    <row r="58" spans="1:26" x14ac:dyDescent="0.25">
      <c r="A58" s="176"/>
      <c r="B58" s="176"/>
      <c r="C58" s="176"/>
      <c r="D58" s="176"/>
      <c r="E58" s="178"/>
      <c r="F58" s="178"/>
      <c r="G58" s="176"/>
      <c r="H58" s="304"/>
      <c r="I58" s="176"/>
      <c r="J58" s="301"/>
      <c r="L58" s="106" t="s">
        <v>371</v>
      </c>
      <c r="M58" s="3"/>
      <c r="O58" s="3"/>
      <c r="P58" s="3" t="s">
        <v>18</v>
      </c>
      <c r="Q58" s="3"/>
      <c r="R58" s="3"/>
      <c r="S58" s="3"/>
      <c r="T58" s="3"/>
      <c r="U58" s="3"/>
      <c r="V58" s="3"/>
      <c r="W58" s="3"/>
      <c r="Y58" s="3"/>
      <c r="Z58" s="3"/>
    </row>
    <row r="59" spans="1:26" x14ac:dyDescent="0.25">
      <c r="A59" s="176"/>
      <c r="B59" s="176"/>
      <c r="C59" s="176"/>
      <c r="D59" s="176"/>
      <c r="E59" s="178"/>
      <c r="F59" s="178"/>
      <c r="G59" s="176"/>
      <c r="H59" s="304"/>
      <c r="I59" s="176"/>
      <c r="J59" s="301"/>
      <c r="L59" s="106" t="s">
        <v>372</v>
      </c>
      <c r="M59" s="3"/>
      <c r="O59" s="3"/>
      <c r="P59" s="3" t="s">
        <v>19</v>
      </c>
      <c r="Q59" s="3"/>
      <c r="R59" s="3"/>
      <c r="S59" s="3"/>
      <c r="T59" s="3"/>
      <c r="U59" s="3"/>
      <c r="V59" s="3"/>
      <c r="W59" s="3"/>
      <c r="Y59" s="3"/>
      <c r="Z59" s="3"/>
    </row>
    <row r="60" spans="1:26" x14ac:dyDescent="0.25">
      <c r="A60" s="176"/>
      <c r="B60" s="176"/>
      <c r="C60" s="176"/>
      <c r="D60" s="176"/>
      <c r="E60" s="178"/>
      <c r="F60" s="178"/>
      <c r="G60" s="176"/>
      <c r="H60" s="304"/>
      <c r="I60" s="176"/>
      <c r="J60" s="301"/>
      <c r="L60" s="106" t="s">
        <v>373</v>
      </c>
      <c r="M60" s="3"/>
      <c r="O60" s="3"/>
      <c r="P60" s="3" t="s">
        <v>20</v>
      </c>
      <c r="Q60" s="3"/>
      <c r="R60" s="3"/>
      <c r="S60" s="3"/>
      <c r="T60" s="3"/>
      <c r="U60" s="3"/>
      <c r="V60" s="3"/>
      <c r="W60" s="3"/>
      <c r="Y60" s="3"/>
      <c r="Z60" s="3"/>
    </row>
    <row r="61" spans="1:26" x14ac:dyDescent="0.25">
      <c r="A61" s="176"/>
      <c r="B61" s="176"/>
      <c r="C61" s="176"/>
      <c r="D61" s="176"/>
      <c r="E61" s="178"/>
      <c r="F61" s="178"/>
      <c r="G61" s="176"/>
      <c r="H61" s="304"/>
      <c r="I61" s="176"/>
      <c r="J61" s="301"/>
      <c r="L61" s="106" t="s">
        <v>374</v>
      </c>
      <c r="M61" s="3"/>
      <c r="O61" s="3"/>
      <c r="P61" s="3" t="s">
        <v>21</v>
      </c>
      <c r="Q61" s="3"/>
      <c r="R61" s="3"/>
      <c r="S61" s="3"/>
      <c r="T61" s="3"/>
      <c r="U61" s="3"/>
      <c r="V61" s="3"/>
      <c r="W61" s="3"/>
      <c r="Y61" s="3"/>
      <c r="Z61" s="3"/>
    </row>
    <row r="62" spans="1:26" x14ac:dyDescent="0.25">
      <c r="A62" s="176"/>
      <c r="B62" s="176"/>
      <c r="C62" s="176"/>
      <c r="D62" s="176"/>
      <c r="E62" s="178"/>
      <c r="F62" s="178"/>
      <c r="G62" s="176"/>
      <c r="H62" s="304"/>
      <c r="I62" s="176"/>
      <c r="J62" s="301"/>
      <c r="L62" s="106" t="s">
        <v>375</v>
      </c>
      <c r="M62" s="3"/>
      <c r="O62" s="3"/>
      <c r="P62" s="3" t="s">
        <v>22</v>
      </c>
      <c r="Q62" s="3"/>
      <c r="R62" s="3"/>
      <c r="S62" s="3"/>
      <c r="T62" s="3"/>
      <c r="U62" s="3"/>
      <c r="V62" s="3"/>
      <c r="W62" s="3"/>
      <c r="Y62" s="3"/>
      <c r="Z62" s="3"/>
    </row>
    <row r="63" spans="1:26" x14ac:dyDescent="0.25">
      <c r="A63" s="176"/>
      <c r="B63" s="176"/>
      <c r="C63" s="176"/>
      <c r="D63" s="176"/>
      <c r="E63" s="178"/>
      <c r="F63" s="178"/>
      <c r="G63" s="176"/>
      <c r="H63" s="304"/>
      <c r="I63" s="176"/>
      <c r="J63" s="301"/>
      <c r="L63" s="106" t="s">
        <v>376</v>
      </c>
      <c r="M63" s="3"/>
      <c r="O63" s="3"/>
      <c r="P63" s="3" t="s">
        <v>67</v>
      </c>
      <c r="Q63" s="3"/>
      <c r="R63" s="3"/>
      <c r="S63" s="3"/>
      <c r="T63" s="3"/>
      <c r="U63" s="3"/>
      <c r="V63" s="3"/>
      <c r="W63" s="3"/>
      <c r="Y63" s="3"/>
      <c r="Z63" s="3"/>
    </row>
    <row r="64" spans="1:26" x14ac:dyDescent="0.25">
      <c r="A64" s="176"/>
      <c r="B64" s="176"/>
      <c r="C64" s="176"/>
      <c r="D64" s="176"/>
      <c r="E64" s="178"/>
      <c r="F64" s="178"/>
      <c r="G64" s="176"/>
      <c r="H64" s="304"/>
      <c r="I64" s="176"/>
      <c r="J64" s="301"/>
      <c r="L64" s="106" t="s">
        <v>377</v>
      </c>
      <c r="M64" s="3"/>
      <c r="O64" s="3"/>
      <c r="P64" s="3" t="s">
        <v>68</v>
      </c>
      <c r="Q64" s="3"/>
      <c r="R64" s="3"/>
      <c r="S64" s="3"/>
      <c r="T64" s="3"/>
      <c r="U64" s="3"/>
      <c r="V64" s="3"/>
      <c r="W64" s="3"/>
      <c r="Y64" s="3"/>
      <c r="Z64" s="3"/>
    </row>
    <row r="65" spans="1:26" x14ac:dyDescent="0.25">
      <c r="A65" s="176"/>
      <c r="B65" s="176"/>
      <c r="C65" s="176"/>
      <c r="D65" s="176"/>
      <c r="E65" s="178"/>
      <c r="F65" s="178"/>
      <c r="G65" s="176"/>
      <c r="H65" s="304"/>
      <c r="I65" s="176"/>
      <c r="J65" s="301"/>
      <c r="L65" s="106" t="s">
        <v>378</v>
      </c>
      <c r="M65" s="3"/>
      <c r="O65" s="3"/>
      <c r="P65" s="3" t="s">
        <v>23</v>
      </c>
      <c r="Q65" s="3"/>
      <c r="R65" s="3"/>
      <c r="S65" s="3"/>
      <c r="T65" s="3"/>
      <c r="U65" s="3"/>
      <c r="V65" s="3"/>
      <c r="W65" s="3"/>
      <c r="Y65" s="3"/>
      <c r="Z65" s="3"/>
    </row>
    <row r="66" spans="1:26" x14ac:dyDescent="0.25">
      <c r="A66" s="176"/>
      <c r="B66" s="176"/>
      <c r="C66" s="176"/>
      <c r="D66" s="176"/>
      <c r="E66" s="178"/>
      <c r="F66" s="178"/>
      <c r="G66" s="176"/>
      <c r="H66" s="304"/>
      <c r="I66" s="176"/>
      <c r="J66" s="301"/>
      <c r="L66" s="106" t="s">
        <v>379</v>
      </c>
      <c r="M66" s="3"/>
      <c r="O66" s="3"/>
      <c r="P66" s="3" t="s">
        <v>52</v>
      </c>
      <c r="Q66" s="3"/>
      <c r="R66" s="3"/>
      <c r="S66" s="3"/>
      <c r="T66" s="3"/>
      <c r="U66" s="3"/>
      <c r="V66" s="3"/>
      <c r="W66" s="3"/>
      <c r="Y66" s="3"/>
      <c r="Z66" s="3"/>
    </row>
    <row r="67" spans="1:26" x14ac:dyDescent="0.25">
      <c r="A67" s="176"/>
      <c r="B67" s="176"/>
      <c r="C67" s="176"/>
      <c r="D67" s="176"/>
      <c r="E67" s="178"/>
      <c r="F67" s="178"/>
      <c r="G67" s="176"/>
      <c r="H67" s="304"/>
      <c r="I67" s="176"/>
      <c r="J67" s="301"/>
      <c r="L67" s="106" t="s">
        <v>380</v>
      </c>
      <c r="M67" s="3"/>
      <c r="O67" s="3"/>
      <c r="P67" s="3" t="s">
        <v>51</v>
      </c>
      <c r="Q67" s="3"/>
      <c r="R67" s="3"/>
      <c r="S67" s="3"/>
      <c r="T67" s="3"/>
      <c r="U67" s="3"/>
      <c r="V67" s="3"/>
      <c r="W67" s="3"/>
      <c r="Y67" s="3"/>
      <c r="Z67" s="3"/>
    </row>
    <row r="68" spans="1:26" x14ac:dyDescent="0.25">
      <c r="A68" s="176"/>
      <c r="B68" s="176"/>
      <c r="C68" s="176"/>
      <c r="D68" s="176"/>
      <c r="E68" s="178"/>
      <c r="F68" s="178"/>
      <c r="G68" s="176"/>
      <c r="H68" s="304"/>
      <c r="I68" s="176"/>
      <c r="J68" s="301"/>
      <c r="L68" s="106" t="s">
        <v>381</v>
      </c>
      <c r="M68" s="3"/>
      <c r="O68" s="3"/>
      <c r="P68" s="3" t="s">
        <v>53</v>
      </c>
      <c r="Q68" s="3"/>
      <c r="R68" s="3"/>
      <c r="S68" s="3"/>
      <c r="T68" s="3"/>
      <c r="U68" s="3"/>
      <c r="V68" s="3"/>
      <c r="W68" s="3"/>
      <c r="Y68" s="3"/>
      <c r="Z68" s="3"/>
    </row>
    <row r="69" spans="1:26" x14ac:dyDescent="0.25">
      <c r="A69" s="176"/>
      <c r="B69" s="176"/>
      <c r="C69" s="176"/>
      <c r="D69" s="176"/>
      <c r="E69" s="178"/>
      <c r="F69" s="178"/>
      <c r="G69" s="176"/>
      <c r="H69" s="304"/>
      <c r="I69" s="176"/>
      <c r="J69" s="301"/>
      <c r="L69" s="106" t="s">
        <v>382</v>
      </c>
      <c r="M69" s="3"/>
      <c r="O69" s="3"/>
      <c r="P69" s="3" t="s">
        <v>54</v>
      </c>
      <c r="Q69" s="3"/>
      <c r="R69" s="3"/>
      <c r="S69" s="3"/>
      <c r="T69" s="3"/>
      <c r="U69" s="3"/>
      <c r="V69" s="3"/>
      <c r="W69" s="3"/>
      <c r="Y69" s="3"/>
      <c r="Z69" s="3"/>
    </row>
    <row r="70" spans="1:26" x14ac:dyDescent="0.25">
      <c r="A70" s="176"/>
      <c r="B70" s="176"/>
      <c r="C70" s="176"/>
      <c r="D70" s="176"/>
      <c r="E70" s="178"/>
      <c r="F70" s="178"/>
      <c r="G70" s="176"/>
      <c r="H70" s="304"/>
      <c r="I70" s="176"/>
      <c r="J70" s="301"/>
      <c r="L70" s="106" t="s">
        <v>383</v>
      </c>
      <c r="M70" s="3"/>
      <c r="O70" s="3"/>
      <c r="P70" s="3" t="s">
        <v>55</v>
      </c>
      <c r="Q70" s="3"/>
      <c r="R70" s="3"/>
      <c r="S70" s="3"/>
      <c r="T70" s="3"/>
      <c r="U70" s="3"/>
      <c r="V70" s="3"/>
      <c r="W70" s="3"/>
      <c r="Y70" s="3"/>
      <c r="Z70" s="3"/>
    </row>
    <row r="71" spans="1:26" x14ac:dyDescent="0.25">
      <c r="A71" s="176"/>
      <c r="B71" s="176"/>
      <c r="C71" s="176"/>
      <c r="D71" s="176"/>
      <c r="E71" s="178"/>
      <c r="F71" s="178"/>
      <c r="G71" s="176"/>
      <c r="H71" s="304"/>
      <c r="I71" s="176"/>
      <c r="J71" s="301"/>
      <c r="L71" s="106" t="s">
        <v>384</v>
      </c>
      <c r="M71" s="3"/>
      <c r="O71" s="3"/>
      <c r="P71" s="3" t="s">
        <v>56</v>
      </c>
      <c r="Q71" s="3"/>
      <c r="R71" s="3"/>
      <c r="S71" s="3"/>
      <c r="T71" s="3"/>
      <c r="U71" s="3"/>
      <c r="V71" s="3"/>
      <c r="W71" s="3"/>
      <c r="Y71" s="3"/>
      <c r="Z71" s="3"/>
    </row>
    <row r="72" spans="1:26" x14ac:dyDescent="0.25">
      <c r="A72" s="176"/>
      <c r="B72" s="176"/>
      <c r="C72" s="176"/>
      <c r="D72" s="176"/>
      <c r="E72" s="178"/>
      <c r="F72" s="178"/>
      <c r="G72" s="176"/>
      <c r="H72" s="304"/>
      <c r="I72" s="176"/>
      <c r="J72" s="301"/>
      <c r="L72" s="106" t="s">
        <v>385</v>
      </c>
      <c r="M72" s="3"/>
      <c r="O72" s="3"/>
      <c r="P72" s="3" t="s">
        <v>69</v>
      </c>
      <c r="Q72" s="3"/>
      <c r="R72" s="3"/>
      <c r="S72" s="3"/>
      <c r="T72" s="3"/>
      <c r="U72" s="3"/>
      <c r="V72" s="3"/>
      <c r="W72" s="3"/>
      <c r="X72" s="3"/>
      <c r="Y72" s="3"/>
      <c r="Z72" s="3"/>
    </row>
    <row r="73" spans="1:26" x14ac:dyDescent="0.25">
      <c r="A73" s="176"/>
      <c r="B73" s="176"/>
      <c r="C73" s="176"/>
      <c r="D73" s="176"/>
      <c r="E73" s="178"/>
      <c r="F73" s="178"/>
      <c r="G73" s="176"/>
      <c r="H73" s="304"/>
      <c r="I73" s="176"/>
      <c r="J73" s="301"/>
      <c r="L73" s="106" t="s">
        <v>426</v>
      </c>
      <c r="M73" s="3"/>
      <c r="O73" s="3"/>
      <c r="P73" s="3" t="s">
        <v>70</v>
      </c>
      <c r="Q73" s="3"/>
      <c r="R73" s="3"/>
      <c r="S73" s="3"/>
      <c r="T73" s="3"/>
      <c r="U73" s="3"/>
      <c r="V73" s="3"/>
      <c r="W73" s="3"/>
      <c r="X73" s="3"/>
      <c r="Y73" s="3"/>
      <c r="Z73" s="3"/>
    </row>
    <row r="74" spans="1:26" x14ac:dyDescent="0.25">
      <c r="A74" s="176"/>
      <c r="B74" s="176"/>
      <c r="C74" s="176"/>
      <c r="D74" s="176"/>
      <c r="E74" s="178"/>
      <c r="F74" s="178"/>
      <c r="G74" s="176"/>
      <c r="H74" s="304"/>
      <c r="I74" s="176"/>
      <c r="J74" s="301"/>
      <c r="L74" s="106" t="s">
        <v>386</v>
      </c>
      <c r="P74" s="3" t="s">
        <v>24</v>
      </c>
      <c r="Q74" s="3"/>
      <c r="R74" s="3"/>
      <c r="S74" s="3"/>
      <c r="T74" s="3"/>
      <c r="U74" s="3"/>
      <c r="V74" s="3"/>
      <c r="W74" s="3"/>
      <c r="X74" s="3"/>
      <c r="Y74" s="3"/>
      <c r="Z74" s="3"/>
    </row>
    <row r="75" spans="1:26" x14ac:dyDescent="0.25">
      <c r="A75" s="176"/>
      <c r="B75" s="176"/>
      <c r="C75" s="176"/>
      <c r="D75" s="176"/>
      <c r="E75" s="178"/>
      <c r="F75" s="178"/>
      <c r="G75" s="176"/>
      <c r="H75" s="304"/>
      <c r="I75" s="176"/>
      <c r="J75" s="301"/>
      <c r="L75" s="106" t="s">
        <v>387</v>
      </c>
      <c r="P75" s="3" t="s">
        <v>71</v>
      </c>
      <c r="Q75" s="3"/>
      <c r="R75" s="3"/>
      <c r="S75" s="3"/>
      <c r="T75" s="3"/>
      <c r="U75" s="3"/>
      <c r="V75" s="3"/>
      <c r="W75" s="3"/>
      <c r="X75" s="3"/>
      <c r="Y75" s="3"/>
      <c r="Z75" s="3"/>
    </row>
    <row r="76" spans="1:26" x14ac:dyDescent="0.25">
      <c r="A76" s="176"/>
      <c r="B76" s="176"/>
      <c r="C76" s="176"/>
      <c r="D76" s="176"/>
      <c r="E76" s="178"/>
      <c r="F76" s="178"/>
      <c r="G76" s="176"/>
      <c r="H76" s="304"/>
      <c r="I76" s="176"/>
      <c r="J76" s="301"/>
      <c r="L76" s="106" t="s">
        <v>388</v>
      </c>
      <c r="P76" s="3" t="s">
        <v>72</v>
      </c>
      <c r="Q76" s="3"/>
      <c r="R76" s="3"/>
      <c r="S76" s="3"/>
      <c r="T76" s="3"/>
      <c r="U76" s="3"/>
      <c r="V76" s="3"/>
      <c r="W76" s="3"/>
      <c r="X76" s="3"/>
      <c r="Y76" s="3"/>
      <c r="Z76" s="3"/>
    </row>
    <row r="77" spans="1:26" x14ac:dyDescent="0.25">
      <c r="A77" s="176"/>
      <c r="B77" s="176"/>
      <c r="C77" s="176"/>
      <c r="D77" s="176"/>
      <c r="E77" s="178"/>
      <c r="F77" s="178"/>
      <c r="G77" s="176"/>
      <c r="H77" s="304"/>
      <c r="I77" s="176"/>
      <c r="J77" s="301"/>
      <c r="L77" s="106" t="s">
        <v>389</v>
      </c>
      <c r="P77" s="3" t="s">
        <v>26</v>
      </c>
      <c r="Q77" s="3"/>
      <c r="R77" s="3"/>
      <c r="S77" s="3"/>
      <c r="T77" s="3"/>
      <c r="U77" s="3"/>
      <c r="V77" s="3"/>
      <c r="W77" s="3"/>
      <c r="X77" s="3"/>
      <c r="Y77" s="3"/>
      <c r="Z77" s="3"/>
    </row>
    <row r="78" spans="1:26" x14ac:dyDescent="0.25">
      <c r="A78" s="176"/>
      <c r="B78" s="176"/>
      <c r="C78" s="176"/>
      <c r="D78" s="176"/>
      <c r="E78" s="178"/>
      <c r="F78" s="178"/>
      <c r="G78" s="176"/>
      <c r="H78" s="304"/>
      <c r="I78" s="176"/>
      <c r="J78" s="301"/>
      <c r="L78" s="106" t="s">
        <v>390</v>
      </c>
      <c r="P78" s="3" t="s">
        <v>73</v>
      </c>
      <c r="Q78" s="3"/>
      <c r="R78" s="3"/>
      <c r="S78" s="3"/>
      <c r="T78" s="3"/>
      <c r="U78" s="3"/>
      <c r="V78" s="3"/>
      <c r="W78" s="3"/>
      <c r="X78" s="3"/>
      <c r="Y78" s="3"/>
      <c r="Z78" s="3"/>
    </row>
    <row r="79" spans="1:26" x14ac:dyDescent="0.25">
      <c r="A79" s="176"/>
      <c r="B79" s="176"/>
      <c r="C79" s="176"/>
      <c r="D79" s="176"/>
      <c r="E79" s="178"/>
      <c r="F79" s="178"/>
      <c r="G79" s="176"/>
      <c r="H79" s="304"/>
      <c r="I79" s="176"/>
      <c r="J79" s="301"/>
      <c r="L79" s="106" t="s">
        <v>391</v>
      </c>
      <c r="P79" s="3" t="s">
        <v>74</v>
      </c>
      <c r="Q79" s="3"/>
      <c r="R79" s="3"/>
      <c r="S79" s="3"/>
      <c r="T79" s="3"/>
      <c r="U79" s="3"/>
      <c r="V79" s="3"/>
      <c r="W79" s="3"/>
      <c r="X79" s="3"/>
      <c r="Y79" s="3"/>
      <c r="Z79" s="3"/>
    </row>
    <row r="80" spans="1:26" x14ac:dyDescent="0.25">
      <c r="A80" s="176"/>
      <c r="B80" s="176"/>
      <c r="C80" s="176"/>
      <c r="D80" s="176"/>
      <c r="E80" s="178"/>
      <c r="F80" s="178"/>
      <c r="G80" s="176"/>
      <c r="H80" s="304"/>
      <c r="I80" s="176"/>
      <c r="J80" s="301"/>
      <c r="L80" s="106" t="s">
        <v>392</v>
      </c>
      <c r="P80" s="3" t="s">
        <v>75</v>
      </c>
      <c r="Q80" s="3"/>
      <c r="R80" s="3"/>
      <c r="S80" s="3"/>
      <c r="T80" s="3"/>
      <c r="U80" s="3"/>
      <c r="V80" s="3"/>
      <c r="W80" s="3"/>
      <c r="X80" s="3"/>
      <c r="Y80" s="3"/>
      <c r="Z80" s="3"/>
    </row>
    <row r="81" spans="1:26" x14ac:dyDescent="0.25">
      <c r="A81" s="176"/>
      <c r="B81" s="176"/>
      <c r="C81" s="176"/>
      <c r="D81" s="176"/>
      <c r="E81" s="178"/>
      <c r="F81" s="178"/>
      <c r="G81" s="176"/>
      <c r="H81" s="304"/>
      <c r="I81" s="176"/>
      <c r="J81" s="301"/>
      <c r="L81" s="106" t="s">
        <v>393</v>
      </c>
      <c r="P81" s="3" t="s">
        <v>28</v>
      </c>
      <c r="Q81" s="3"/>
      <c r="R81" s="3"/>
      <c r="S81" s="3"/>
      <c r="T81" s="3"/>
      <c r="U81" s="3"/>
      <c r="V81" s="3"/>
      <c r="W81" s="3"/>
      <c r="X81" s="3"/>
      <c r="Y81" s="3"/>
      <c r="Z81" s="3"/>
    </row>
    <row r="82" spans="1:26" x14ac:dyDescent="0.25">
      <c r="A82" s="176"/>
      <c r="B82" s="176"/>
      <c r="C82" s="176"/>
      <c r="D82" s="176"/>
      <c r="E82" s="178"/>
      <c r="F82" s="178"/>
      <c r="G82" s="176"/>
      <c r="H82" s="304"/>
      <c r="I82" s="176"/>
      <c r="J82" s="301"/>
      <c r="L82" s="106" t="s">
        <v>425</v>
      </c>
      <c r="P82" s="3" t="s">
        <v>216</v>
      </c>
      <c r="Q82" s="3"/>
      <c r="R82" s="3"/>
      <c r="S82" s="3"/>
      <c r="T82" s="3"/>
      <c r="U82" s="3"/>
      <c r="V82" s="3"/>
      <c r="W82" s="3"/>
      <c r="X82" s="3"/>
      <c r="Y82" s="3"/>
      <c r="Z82" s="3"/>
    </row>
    <row r="83" spans="1:26" x14ac:dyDescent="0.25">
      <c r="A83" s="176"/>
      <c r="B83" s="176"/>
      <c r="C83" s="176"/>
      <c r="D83" s="176"/>
      <c r="E83" s="178"/>
      <c r="F83" s="178"/>
      <c r="G83" s="176"/>
      <c r="H83" s="304"/>
      <c r="I83" s="176"/>
      <c r="J83" s="301"/>
      <c r="P83" s="3" t="s">
        <v>197</v>
      </c>
      <c r="Q83" s="3"/>
      <c r="R83" s="3"/>
      <c r="S83" s="3"/>
      <c r="T83" s="3"/>
      <c r="U83" s="3"/>
      <c r="V83" s="3"/>
      <c r="W83" s="3"/>
      <c r="X83" s="3"/>
      <c r="Y83" s="3"/>
      <c r="Z83" s="3"/>
    </row>
    <row r="84" spans="1:26" x14ac:dyDescent="0.25">
      <c r="A84" s="176"/>
      <c r="B84" s="176"/>
      <c r="C84" s="176"/>
      <c r="D84" s="176"/>
      <c r="E84" s="178"/>
      <c r="F84" s="178"/>
      <c r="G84" s="176"/>
      <c r="H84" s="304"/>
      <c r="I84" s="176"/>
      <c r="J84" s="301"/>
      <c r="P84" s="3" t="s">
        <v>198</v>
      </c>
      <c r="Q84" s="3"/>
      <c r="R84" s="3"/>
      <c r="S84" s="3"/>
      <c r="T84" s="3"/>
      <c r="U84" s="3"/>
      <c r="V84" s="3"/>
      <c r="W84" s="3"/>
      <c r="X84" s="3"/>
      <c r="Y84" s="3"/>
      <c r="Z84" s="3"/>
    </row>
    <row r="85" spans="1:26" x14ac:dyDescent="0.25">
      <c r="A85" s="176"/>
      <c r="B85" s="176"/>
      <c r="C85" s="176"/>
      <c r="D85" s="176"/>
      <c r="E85" s="178"/>
      <c r="F85" s="178"/>
      <c r="G85" s="176"/>
      <c r="H85" s="304"/>
      <c r="I85" s="176"/>
      <c r="J85" s="301"/>
      <c r="P85" s="3" t="s">
        <v>199</v>
      </c>
      <c r="Q85" s="3"/>
      <c r="R85" s="3"/>
      <c r="S85" s="3"/>
      <c r="T85" s="3"/>
      <c r="U85" s="3"/>
      <c r="V85" s="3"/>
      <c r="W85" s="3"/>
      <c r="X85" s="3"/>
      <c r="Y85" s="3"/>
      <c r="Z85" s="3"/>
    </row>
    <row r="86" spans="1:26" x14ac:dyDescent="0.25">
      <c r="A86" s="176"/>
      <c r="B86" s="176"/>
      <c r="C86" s="176"/>
      <c r="D86" s="176"/>
      <c r="E86" s="178"/>
      <c r="F86" s="178"/>
      <c r="G86" s="176"/>
      <c r="H86" s="304"/>
      <c r="I86" s="176"/>
      <c r="J86" s="301"/>
      <c r="O86" s="3"/>
      <c r="P86" s="3"/>
      <c r="Q86" s="3"/>
      <c r="R86" s="3"/>
      <c r="S86" s="3"/>
      <c r="T86" s="3"/>
      <c r="U86" s="3"/>
      <c r="V86" s="3"/>
      <c r="W86" s="3"/>
      <c r="X86" s="3"/>
      <c r="Y86" s="3"/>
      <c r="Z86" s="3"/>
    </row>
    <row r="87" spans="1:26" x14ac:dyDescent="0.25">
      <c r="A87" s="176"/>
      <c r="B87" s="176"/>
      <c r="C87" s="176"/>
      <c r="D87" s="176"/>
      <c r="E87" s="178"/>
      <c r="F87" s="178"/>
      <c r="G87" s="176"/>
      <c r="H87" s="304"/>
      <c r="I87" s="176"/>
      <c r="J87" s="301"/>
      <c r="O87" s="3"/>
      <c r="P87" s="3"/>
      <c r="Q87" s="3"/>
      <c r="R87" s="3"/>
      <c r="S87" s="3"/>
      <c r="T87" s="3"/>
      <c r="U87" s="3"/>
      <c r="V87" s="3"/>
      <c r="W87" s="3"/>
      <c r="X87" s="3"/>
      <c r="Y87" s="3"/>
      <c r="Z87" s="3"/>
    </row>
    <row r="88" spans="1:26" x14ac:dyDescent="0.25">
      <c r="A88" s="176"/>
      <c r="B88" s="176"/>
      <c r="C88" s="176"/>
      <c r="D88" s="176"/>
      <c r="E88" s="178"/>
      <c r="F88" s="178"/>
      <c r="G88" s="176"/>
      <c r="H88" s="304"/>
      <c r="I88" s="176"/>
      <c r="J88" s="301"/>
      <c r="O88" s="3"/>
      <c r="P88" s="3"/>
      <c r="Q88" s="3"/>
      <c r="R88" s="3"/>
      <c r="S88" s="3"/>
      <c r="T88" s="3"/>
      <c r="U88" s="3"/>
      <c r="V88" s="3"/>
      <c r="W88" s="3"/>
      <c r="X88" s="3"/>
      <c r="Y88" s="3"/>
      <c r="Z88" s="3"/>
    </row>
    <row r="89" spans="1:26" x14ac:dyDescent="0.25">
      <c r="A89" s="176"/>
      <c r="B89" s="176"/>
      <c r="C89" s="176"/>
      <c r="D89" s="176"/>
      <c r="E89" s="178"/>
      <c r="F89" s="178"/>
      <c r="G89" s="176"/>
      <c r="H89" s="304"/>
      <c r="I89" s="176"/>
      <c r="J89" s="301"/>
      <c r="O89" s="3"/>
      <c r="P89" s="3"/>
      <c r="Q89" s="3"/>
      <c r="R89" s="3"/>
      <c r="S89" s="3"/>
      <c r="T89" s="3"/>
      <c r="U89" s="3"/>
      <c r="V89" s="3"/>
      <c r="W89" s="3"/>
      <c r="X89" s="3"/>
      <c r="Y89" s="3"/>
      <c r="Z89" s="3"/>
    </row>
    <row r="90" spans="1:26" x14ac:dyDescent="0.25">
      <c r="A90" s="176"/>
      <c r="B90" s="176"/>
      <c r="C90" s="176"/>
      <c r="D90" s="176"/>
      <c r="E90" s="178"/>
      <c r="F90" s="178"/>
      <c r="G90" s="176"/>
      <c r="H90" s="304"/>
      <c r="I90" s="176"/>
      <c r="J90" s="301"/>
      <c r="O90" s="3"/>
      <c r="P90" s="3"/>
      <c r="Q90" s="3"/>
      <c r="R90" s="3"/>
      <c r="S90" s="3"/>
      <c r="T90" s="3"/>
      <c r="U90" s="3"/>
      <c r="V90" s="3"/>
      <c r="W90" s="3"/>
      <c r="X90" s="3"/>
      <c r="Y90" s="3"/>
      <c r="Z90" s="3"/>
    </row>
    <row r="91" spans="1:26" x14ac:dyDescent="0.25">
      <c r="A91" s="176"/>
      <c r="B91" s="176"/>
      <c r="C91" s="176"/>
      <c r="D91" s="176"/>
      <c r="E91" s="178"/>
      <c r="F91" s="178"/>
      <c r="G91" s="176"/>
      <c r="H91" s="304"/>
      <c r="I91" s="176"/>
      <c r="J91" s="301"/>
      <c r="O91" s="3"/>
      <c r="P91" s="3"/>
      <c r="Q91" s="3"/>
      <c r="R91" s="3"/>
      <c r="S91" s="3"/>
      <c r="T91" s="3"/>
      <c r="U91" s="3"/>
      <c r="V91" s="3"/>
      <c r="W91" s="3"/>
      <c r="X91" s="3"/>
      <c r="Y91" s="3"/>
      <c r="Z91" s="3"/>
    </row>
    <row r="92" spans="1:26" x14ac:dyDescent="0.25">
      <c r="A92" s="176"/>
      <c r="B92" s="176"/>
      <c r="C92" s="176"/>
      <c r="D92" s="176"/>
      <c r="E92" s="178"/>
      <c r="F92" s="178"/>
      <c r="G92" s="176"/>
      <c r="H92" s="304"/>
      <c r="I92" s="176"/>
      <c r="J92" s="301"/>
      <c r="O92" s="3"/>
      <c r="P92" s="3"/>
      <c r="Q92" s="3"/>
      <c r="R92" s="3"/>
      <c r="S92" s="3"/>
      <c r="T92" s="3"/>
      <c r="U92" s="3"/>
      <c r="V92" s="3"/>
      <c r="W92" s="3"/>
      <c r="X92" s="3"/>
      <c r="Y92" s="3"/>
      <c r="Z92" s="3"/>
    </row>
    <row r="93" spans="1:26" x14ac:dyDescent="0.25">
      <c r="A93" s="176"/>
      <c r="B93" s="176"/>
      <c r="C93" s="176"/>
      <c r="D93" s="176"/>
      <c r="E93" s="178"/>
      <c r="F93" s="178"/>
      <c r="G93" s="176"/>
      <c r="H93" s="304"/>
      <c r="I93" s="176"/>
      <c r="J93" s="301"/>
      <c r="O93" s="3"/>
      <c r="P93" s="3"/>
      <c r="Q93" s="3"/>
      <c r="R93" s="3"/>
      <c r="S93" s="3"/>
      <c r="T93" s="3"/>
      <c r="U93" s="3"/>
      <c r="V93" s="3"/>
      <c r="W93" s="3"/>
      <c r="X93" s="3"/>
      <c r="Y93" s="3"/>
      <c r="Z93" s="3"/>
    </row>
    <row r="94" spans="1:26" x14ac:dyDescent="0.25">
      <c r="A94" s="176"/>
      <c r="B94" s="176"/>
      <c r="C94" s="176"/>
      <c r="D94" s="176"/>
      <c r="E94" s="178"/>
      <c r="F94" s="178"/>
      <c r="G94" s="176"/>
      <c r="H94" s="304"/>
      <c r="I94" s="176"/>
      <c r="J94" s="301"/>
      <c r="O94" s="3"/>
      <c r="P94" s="3"/>
      <c r="Q94" s="3"/>
      <c r="R94" s="3"/>
      <c r="S94" s="3"/>
      <c r="T94" s="3"/>
      <c r="U94" s="3"/>
      <c r="V94" s="3"/>
      <c r="W94" s="3"/>
      <c r="X94" s="3"/>
      <c r="Y94" s="3"/>
      <c r="Z94" s="3"/>
    </row>
    <row r="95" spans="1:26" x14ac:dyDescent="0.25">
      <c r="A95" s="176"/>
      <c r="B95" s="176"/>
      <c r="C95" s="176"/>
      <c r="D95" s="176"/>
      <c r="E95" s="178"/>
      <c r="F95" s="178"/>
      <c r="G95" s="176"/>
      <c r="H95" s="304"/>
      <c r="I95" s="176"/>
      <c r="J95" s="301"/>
    </row>
    <row r="96" spans="1:26" x14ac:dyDescent="0.25">
      <c r="A96" s="176"/>
      <c r="B96" s="176"/>
      <c r="C96" s="176"/>
      <c r="D96" s="176"/>
      <c r="E96" s="178"/>
      <c r="F96" s="178"/>
      <c r="G96" s="176"/>
      <c r="H96" s="304"/>
      <c r="I96" s="176"/>
      <c r="J96" s="301"/>
    </row>
    <row r="97" spans="1:10" x14ac:dyDescent="0.25">
      <c r="A97" s="176"/>
      <c r="B97" s="176"/>
      <c r="C97" s="176"/>
      <c r="D97" s="176"/>
      <c r="E97" s="178"/>
      <c r="F97" s="178"/>
      <c r="G97" s="176"/>
      <c r="H97" s="304"/>
      <c r="I97" s="176"/>
      <c r="J97" s="301"/>
    </row>
    <row r="98" spans="1:10" x14ac:dyDescent="0.25">
      <c r="A98" s="176"/>
      <c r="B98" s="176"/>
      <c r="C98" s="176"/>
      <c r="D98" s="176"/>
      <c r="E98" s="178"/>
      <c r="F98" s="178"/>
      <c r="G98" s="176"/>
      <c r="H98" s="304"/>
      <c r="I98" s="176"/>
      <c r="J98" s="301"/>
    </row>
    <row r="99" spans="1:10" x14ac:dyDescent="0.25">
      <c r="A99" s="176"/>
      <c r="B99" s="176"/>
      <c r="C99" s="176"/>
      <c r="D99" s="176"/>
      <c r="E99" s="178"/>
      <c r="F99" s="178"/>
      <c r="G99" s="176"/>
      <c r="H99" s="304"/>
      <c r="I99" s="176"/>
      <c r="J99" s="301"/>
    </row>
    <row r="100" spans="1:10" x14ac:dyDescent="0.25">
      <c r="A100" s="176"/>
      <c r="B100" s="176"/>
      <c r="C100" s="176"/>
      <c r="D100" s="176"/>
      <c r="E100" s="178"/>
      <c r="F100" s="178"/>
      <c r="G100" s="176"/>
      <c r="H100" s="304"/>
      <c r="I100" s="176"/>
      <c r="J100" s="301"/>
    </row>
    <row r="101" spans="1:10" x14ac:dyDescent="0.25">
      <c r="A101" s="176"/>
      <c r="B101" s="176"/>
      <c r="C101" s="176"/>
      <c r="D101" s="176"/>
      <c r="E101" s="178"/>
      <c r="F101" s="178"/>
      <c r="G101" s="176"/>
      <c r="H101" s="304"/>
      <c r="I101" s="176"/>
      <c r="J101" s="301"/>
    </row>
    <row r="102" spans="1:10" x14ac:dyDescent="0.25">
      <c r="A102" s="176"/>
      <c r="B102" s="176"/>
      <c r="C102" s="176"/>
      <c r="D102" s="176"/>
      <c r="E102" s="178"/>
      <c r="F102" s="178"/>
      <c r="G102" s="176"/>
      <c r="H102" s="304"/>
      <c r="I102" s="176"/>
      <c r="J102" s="301"/>
    </row>
    <row r="103" spans="1:10" x14ac:dyDescent="0.25">
      <c r="A103" s="176"/>
      <c r="B103" s="176"/>
      <c r="C103" s="176"/>
      <c r="D103" s="176"/>
      <c r="E103" s="178"/>
      <c r="F103" s="178"/>
      <c r="G103" s="176"/>
      <c r="H103" s="304"/>
      <c r="I103" s="176"/>
      <c r="J103" s="301"/>
    </row>
    <row r="104" spans="1:10" x14ac:dyDescent="0.25">
      <c r="A104" s="185"/>
      <c r="B104" s="176"/>
      <c r="C104" s="176"/>
      <c r="D104" s="185"/>
      <c r="E104" s="179"/>
      <c r="F104" s="179"/>
      <c r="G104" s="185"/>
      <c r="H104" s="302"/>
      <c r="I104" s="176"/>
      <c r="J104" s="302"/>
    </row>
    <row r="105" spans="1:10" x14ac:dyDescent="0.25">
      <c r="A105" s="185"/>
      <c r="B105" s="176"/>
      <c r="C105" s="176"/>
      <c r="D105" s="185"/>
      <c r="E105" s="179"/>
      <c r="F105" s="179"/>
      <c r="G105" s="185"/>
      <c r="H105" s="302"/>
      <c r="I105" s="176"/>
      <c r="J105" s="302"/>
    </row>
    <row r="106" spans="1:10" x14ac:dyDescent="0.25">
      <c r="A106" s="185"/>
      <c r="B106" s="176"/>
      <c r="C106" s="176"/>
      <c r="D106" s="185"/>
      <c r="E106" s="179"/>
      <c r="F106" s="179"/>
      <c r="G106" s="185"/>
      <c r="H106" s="302"/>
      <c r="I106" s="176"/>
      <c r="J106" s="302"/>
    </row>
    <row r="107" spans="1:10" x14ac:dyDescent="0.25">
      <c r="A107" s="185"/>
      <c r="B107" s="176"/>
      <c r="C107" s="176"/>
      <c r="D107" s="185"/>
      <c r="E107" s="179"/>
      <c r="F107" s="179"/>
      <c r="G107" s="185"/>
      <c r="H107" s="302"/>
      <c r="I107" s="176"/>
      <c r="J107" s="302"/>
    </row>
    <row r="108" spans="1:10" x14ac:dyDescent="0.25">
      <c r="A108" s="185"/>
      <c r="B108" s="176"/>
      <c r="C108" s="176"/>
      <c r="D108" s="185"/>
      <c r="E108" s="179"/>
      <c r="F108" s="179"/>
      <c r="G108" s="185"/>
      <c r="H108" s="302"/>
      <c r="I108" s="176"/>
      <c r="J108" s="302"/>
    </row>
    <row r="109" spans="1:10" x14ac:dyDescent="0.25">
      <c r="A109" s="185"/>
      <c r="B109" s="176"/>
      <c r="C109" s="176"/>
      <c r="D109" s="185"/>
      <c r="E109" s="179"/>
      <c r="F109" s="179"/>
      <c r="G109" s="185"/>
      <c r="H109" s="302"/>
      <c r="I109" s="176"/>
      <c r="J109" s="302"/>
    </row>
    <row r="110" spans="1:10" x14ac:dyDescent="0.25">
      <c r="A110" s="185"/>
      <c r="B110" s="176"/>
      <c r="C110" s="176"/>
      <c r="D110" s="185"/>
      <c r="E110" s="179"/>
      <c r="F110" s="179"/>
      <c r="G110" s="185"/>
      <c r="H110" s="302"/>
      <c r="I110" s="176"/>
      <c r="J110" s="302"/>
    </row>
    <row r="111" spans="1:10" x14ac:dyDescent="0.25">
      <c r="A111" s="185"/>
      <c r="B111" s="176"/>
      <c r="C111" s="176"/>
      <c r="D111" s="185"/>
      <c r="E111" s="179"/>
      <c r="F111" s="179"/>
      <c r="G111" s="185"/>
      <c r="H111" s="302"/>
      <c r="I111" s="176"/>
      <c r="J111" s="302"/>
    </row>
    <row r="112" spans="1:10" x14ac:dyDescent="0.25">
      <c r="A112" s="185"/>
      <c r="B112" s="176"/>
      <c r="C112" s="176"/>
      <c r="D112" s="185"/>
      <c r="E112" s="179"/>
      <c r="F112" s="179"/>
      <c r="G112" s="185"/>
      <c r="H112" s="302"/>
      <c r="I112" s="176"/>
      <c r="J112" s="302"/>
    </row>
    <row r="113" spans="1:10" x14ac:dyDescent="0.25">
      <c r="A113" s="185"/>
      <c r="B113" s="176"/>
      <c r="C113" s="176"/>
      <c r="D113" s="185"/>
      <c r="E113" s="179"/>
      <c r="F113" s="179"/>
      <c r="G113" s="185"/>
      <c r="H113" s="302"/>
      <c r="I113" s="176"/>
      <c r="J113" s="302"/>
    </row>
    <row r="114" spans="1:10" x14ac:dyDescent="0.25">
      <c r="A114" s="185"/>
      <c r="B114" s="176"/>
      <c r="C114" s="176"/>
      <c r="D114" s="185"/>
      <c r="E114" s="179"/>
      <c r="F114" s="179"/>
      <c r="G114" s="185"/>
      <c r="H114" s="302"/>
      <c r="I114" s="176"/>
      <c r="J114" s="302"/>
    </row>
    <row r="115" spans="1:10" x14ac:dyDescent="0.25">
      <c r="A115" s="185"/>
      <c r="B115" s="176"/>
      <c r="C115" s="176"/>
      <c r="D115" s="185"/>
      <c r="E115" s="179"/>
      <c r="F115" s="179"/>
      <c r="G115" s="185"/>
      <c r="H115" s="302"/>
      <c r="I115" s="176"/>
      <c r="J115" s="302"/>
    </row>
    <row r="116" spans="1:10" x14ac:dyDescent="0.25">
      <c r="A116" s="185"/>
      <c r="B116" s="176"/>
      <c r="C116" s="176"/>
      <c r="D116" s="185"/>
      <c r="E116" s="179"/>
      <c r="F116" s="179"/>
      <c r="G116" s="185"/>
      <c r="H116" s="302"/>
      <c r="I116" s="176"/>
      <c r="J116" s="302"/>
    </row>
    <row r="117" spans="1:10" x14ac:dyDescent="0.25">
      <c r="A117" s="185"/>
      <c r="B117" s="176"/>
      <c r="C117" s="176"/>
      <c r="D117" s="185"/>
      <c r="E117" s="179"/>
      <c r="F117" s="179"/>
      <c r="G117" s="185"/>
      <c r="H117" s="302"/>
      <c r="I117" s="176"/>
      <c r="J117" s="302"/>
    </row>
    <row r="118" spans="1:10" x14ac:dyDescent="0.25">
      <c r="A118" s="185"/>
      <c r="B118" s="176"/>
      <c r="C118" s="176"/>
      <c r="D118" s="185"/>
      <c r="E118" s="179"/>
      <c r="F118" s="179"/>
      <c r="G118" s="185"/>
      <c r="H118" s="302"/>
      <c r="I118" s="176"/>
      <c r="J118" s="302"/>
    </row>
    <row r="119" spans="1:10" x14ac:dyDescent="0.25">
      <c r="A119" s="185"/>
      <c r="B119" s="176"/>
      <c r="C119" s="176"/>
      <c r="D119" s="185"/>
      <c r="E119" s="179"/>
      <c r="F119" s="179"/>
      <c r="G119" s="185"/>
      <c r="H119" s="302"/>
      <c r="I119" s="176"/>
      <c r="J119" s="302"/>
    </row>
    <row r="120" spans="1:10" x14ac:dyDescent="0.25">
      <c r="A120" s="185"/>
      <c r="B120" s="176"/>
      <c r="C120" s="176"/>
      <c r="D120" s="185"/>
      <c r="E120" s="179"/>
      <c r="F120" s="179"/>
      <c r="G120" s="185"/>
      <c r="H120" s="302"/>
      <c r="I120" s="176"/>
      <c r="J120" s="302"/>
    </row>
    <row r="121" spans="1:10" x14ac:dyDescent="0.25">
      <c r="A121" s="185"/>
      <c r="B121" s="176"/>
      <c r="C121" s="176"/>
      <c r="D121" s="185"/>
      <c r="E121" s="179"/>
      <c r="F121" s="179"/>
      <c r="G121" s="185"/>
      <c r="H121" s="302"/>
      <c r="I121" s="176"/>
      <c r="J121" s="302"/>
    </row>
    <row r="122" spans="1:10" x14ac:dyDescent="0.25">
      <c r="A122" s="185"/>
      <c r="B122" s="176"/>
      <c r="C122" s="176"/>
      <c r="D122" s="185"/>
      <c r="E122" s="179"/>
      <c r="F122" s="179"/>
      <c r="G122" s="185"/>
      <c r="H122" s="302"/>
      <c r="I122" s="176"/>
      <c r="J122" s="302"/>
    </row>
    <row r="123" spans="1:10" x14ac:dyDescent="0.25">
      <c r="A123" s="185"/>
      <c r="B123" s="176"/>
      <c r="C123" s="176"/>
      <c r="D123" s="185"/>
      <c r="E123" s="179"/>
      <c r="F123" s="179"/>
      <c r="G123" s="185"/>
      <c r="H123" s="302"/>
      <c r="I123" s="176"/>
      <c r="J123" s="302"/>
    </row>
    <row r="124" spans="1:10" x14ac:dyDescent="0.25">
      <c r="A124" s="185"/>
      <c r="B124" s="176"/>
      <c r="C124" s="176"/>
      <c r="D124" s="185"/>
      <c r="E124" s="179"/>
      <c r="F124" s="179"/>
      <c r="G124" s="185"/>
      <c r="H124" s="302"/>
      <c r="I124" s="176"/>
      <c r="J124" s="302"/>
    </row>
    <row r="125" spans="1:10" x14ac:dyDescent="0.25">
      <c r="A125" s="185"/>
      <c r="B125" s="176"/>
      <c r="C125" s="176"/>
      <c r="D125" s="185"/>
      <c r="E125" s="179"/>
      <c r="F125" s="179"/>
      <c r="G125" s="185"/>
      <c r="H125" s="302"/>
      <c r="I125" s="176"/>
      <c r="J125" s="302"/>
    </row>
    <row r="126" spans="1:10" x14ac:dyDescent="0.25">
      <c r="A126" s="185"/>
      <c r="B126" s="176"/>
      <c r="C126" s="176"/>
      <c r="D126" s="185"/>
      <c r="E126" s="179"/>
      <c r="F126" s="179"/>
      <c r="G126" s="185"/>
      <c r="H126" s="302"/>
      <c r="I126" s="176"/>
      <c r="J126" s="302"/>
    </row>
    <row r="127" spans="1:10" x14ac:dyDescent="0.25">
      <c r="A127" s="185"/>
      <c r="B127" s="176"/>
      <c r="C127" s="176"/>
      <c r="D127" s="185"/>
      <c r="E127" s="179"/>
      <c r="F127" s="179"/>
      <c r="G127" s="185"/>
      <c r="H127" s="302"/>
      <c r="I127" s="176"/>
      <c r="J127" s="302"/>
    </row>
    <row r="128" spans="1:10" x14ac:dyDescent="0.25">
      <c r="A128" s="185"/>
      <c r="B128" s="176"/>
      <c r="C128" s="176"/>
      <c r="D128" s="185"/>
      <c r="E128" s="179"/>
      <c r="F128" s="179"/>
      <c r="G128" s="185"/>
      <c r="H128" s="302"/>
      <c r="I128" s="176"/>
      <c r="J128" s="302"/>
    </row>
    <row r="129" spans="1:10" x14ac:dyDescent="0.25">
      <c r="A129" s="185"/>
      <c r="B129" s="176"/>
      <c r="C129" s="176"/>
      <c r="D129" s="185"/>
      <c r="E129" s="179"/>
      <c r="F129" s="179"/>
      <c r="G129" s="185"/>
      <c r="H129" s="302"/>
      <c r="I129" s="176"/>
      <c r="J129" s="302"/>
    </row>
    <row r="130" spans="1:10" x14ac:dyDescent="0.25">
      <c r="A130" s="185"/>
      <c r="B130" s="176"/>
      <c r="C130" s="176"/>
      <c r="D130" s="185"/>
      <c r="E130" s="179"/>
      <c r="F130" s="179"/>
      <c r="G130" s="185"/>
      <c r="H130" s="302"/>
      <c r="I130" s="176"/>
      <c r="J130" s="302"/>
    </row>
    <row r="131" spans="1:10" x14ac:dyDescent="0.25">
      <c r="A131" s="185"/>
      <c r="B131" s="176"/>
      <c r="C131" s="176"/>
      <c r="D131" s="185"/>
      <c r="E131" s="179"/>
      <c r="F131" s="179"/>
      <c r="G131" s="185"/>
      <c r="H131" s="302"/>
      <c r="I131" s="176"/>
      <c r="J131" s="302"/>
    </row>
    <row r="132" spans="1:10" x14ac:dyDescent="0.25">
      <c r="A132" s="185"/>
      <c r="B132" s="176"/>
      <c r="C132" s="176"/>
      <c r="D132" s="185"/>
      <c r="E132" s="179"/>
      <c r="F132" s="179"/>
      <c r="G132" s="185"/>
      <c r="H132" s="302"/>
      <c r="I132" s="176"/>
      <c r="J132" s="302"/>
    </row>
    <row r="133" spans="1:10" x14ac:dyDescent="0.25">
      <c r="A133" s="185"/>
      <c r="B133" s="176"/>
      <c r="C133" s="176"/>
      <c r="D133" s="185"/>
      <c r="E133" s="179"/>
      <c r="F133" s="179"/>
      <c r="G133" s="185"/>
      <c r="H133" s="302"/>
      <c r="I133" s="176"/>
      <c r="J133" s="302"/>
    </row>
    <row r="134" spans="1:10" x14ac:dyDescent="0.25">
      <c r="A134" s="185"/>
      <c r="B134" s="176"/>
      <c r="C134" s="176"/>
      <c r="D134" s="185"/>
      <c r="E134" s="179"/>
      <c r="F134" s="179"/>
      <c r="G134" s="185"/>
      <c r="H134" s="302"/>
      <c r="I134" s="176"/>
      <c r="J134" s="302"/>
    </row>
    <row r="135" spans="1:10" x14ac:dyDescent="0.25">
      <c r="A135" s="185"/>
      <c r="B135" s="176"/>
      <c r="C135" s="176"/>
      <c r="D135" s="185"/>
      <c r="E135" s="179"/>
      <c r="F135" s="179"/>
      <c r="G135" s="185"/>
      <c r="H135" s="302"/>
      <c r="I135" s="176"/>
      <c r="J135" s="302"/>
    </row>
    <row r="136" spans="1:10" x14ac:dyDescent="0.25">
      <c r="A136" s="185"/>
      <c r="B136" s="176"/>
      <c r="C136" s="176"/>
      <c r="D136" s="185"/>
      <c r="E136" s="179"/>
      <c r="F136" s="179"/>
      <c r="G136" s="185"/>
      <c r="H136" s="302"/>
      <c r="I136" s="176"/>
      <c r="J136" s="302"/>
    </row>
    <row r="137" spans="1:10" x14ac:dyDescent="0.25">
      <c r="A137" s="185"/>
      <c r="B137" s="176"/>
      <c r="C137" s="176"/>
      <c r="D137" s="185"/>
      <c r="E137" s="179"/>
      <c r="F137" s="179"/>
      <c r="G137" s="185"/>
      <c r="H137" s="302"/>
      <c r="I137" s="176"/>
      <c r="J137" s="302"/>
    </row>
    <row r="138" spans="1:10" x14ac:dyDescent="0.25">
      <c r="A138" s="185"/>
      <c r="B138" s="176"/>
      <c r="C138" s="176"/>
      <c r="D138" s="185"/>
      <c r="E138" s="179"/>
      <c r="F138" s="179"/>
      <c r="G138" s="185"/>
      <c r="H138" s="302"/>
      <c r="I138" s="176"/>
      <c r="J138" s="302"/>
    </row>
    <row r="139" spans="1:10" x14ac:dyDescent="0.25">
      <c r="A139" s="185"/>
      <c r="B139" s="176"/>
      <c r="C139" s="176"/>
      <c r="D139" s="185"/>
      <c r="E139" s="179"/>
      <c r="F139" s="179"/>
      <c r="G139" s="185"/>
      <c r="H139" s="302"/>
      <c r="I139" s="176"/>
      <c r="J139" s="302"/>
    </row>
    <row r="140" spans="1:10" x14ac:dyDescent="0.25">
      <c r="A140" s="185"/>
      <c r="B140" s="176"/>
      <c r="C140" s="176"/>
      <c r="D140" s="185"/>
      <c r="E140" s="179"/>
      <c r="F140" s="179"/>
      <c r="G140" s="185"/>
      <c r="H140" s="302"/>
      <c r="I140" s="176"/>
      <c r="J140" s="302"/>
    </row>
    <row r="141" spans="1:10" x14ac:dyDescent="0.25">
      <c r="A141" s="185"/>
      <c r="B141" s="176"/>
      <c r="C141" s="176"/>
      <c r="D141" s="185"/>
      <c r="E141" s="179"/>
      <c r="F141" s="179"/>
      <c r="G141" s="185"/>
      <c r="H141" s="302"/>
      <c r="I141" s="176"/>
      <c r="J141" s="302"/>
    </row>
    <row r="142" spans="1:10" x14ac:dyDescent="0.25">
      <c r="A142" s="185"/>
      <c r="B142" s="176"/>
      <c r="C142" s="176"/>
      <c r="D142" s="185"/>
      <c r="E142" s="179"/>
      <c r="F142" s="179"/>
      <c r="G142" s="185"/>
      <c r="H142" s="302"/>
      <c r="I142" s="176"/>
      <c r="J142" s="302"/>
    </row>
    <row r="143" spans="1:10" x14ac:dyDescent="0.25">
      <c r="A143" s="185"/>
      <c r="B143" s="176"/>
      <c r="C143" s="176"/>
      <c r="D143" s="185"/>
      <c r="E143" s="179"/>
      <c r="F143" s="179"/>
      <c r="G143" s="185"/>
      <c r="H143" s="302"/>
      <c r="I143" s="176"/>
      <c r="J143" s="302"/>
    </row>
    <row r="144" spans="1:10" x14ac:dyDescent="0.25">
      <c r="A144" s="185"/>
      <c r="B144" s="176"/>
      <c r="C144" s="176"/>
      <c r="D144" s="185"/>
      <c r="E144" s="179"/>
      <c r="F144" s="179"/>
      <c r="G144" s="185"/>
      <c r="H144" s="302"/>
      <c r="I144" s="176"/>
      <c r="J144" s="302"/>
    </row>
    <row r="145" spans="1:10" x14ac:dyDescent="0.25">
      <c r="A145" s="185"/>
      <c r="B145" s="176"/>
      <c r="C145" s="176"/>
      <c r="D145" s="185"/>
      <c r="E145" s="179"/>
      <c r="F145" s="179"/>
      <c r="G145" s="185"/>
      <c r="H145" s="302"/>
      <c r="I145" s="176"/>
      <c r="J145" s="302"/>
    </row>
    <row r="146" spans="1:10" x14ac:dyDescent="0.25">
      <c r="A146" s="185"/>
      <c r="B146" s="176"/>
      <c r="C146" s="176"/>
      <c r="D146" s="185"/>
      <c r="E146" s="179"/>
      <c r="F146" s="179"/>
      <c r="G146" s="185"/>
      <c r="H146" s="302"/>
      <c r="I146" s="176"/>
      <c r="J146" s="302"/>
    </row>
    <row r="147" spans="1:10" x14ac:dyDescent="0.25">
      <c r="A147" s="185"/>
      <c r="B147" s="176"/>
      <c r="C147" s="176"/>
      <c r="D147" s="185"/>
      <c r="E147" s="179"/>
      <c r="F147" s="179"/>
      <c r="G147" s="185"/>
      <c r="H147" s="302"/>
      <c r="I147" s="176"/>
      <c r="J147" s="302"/>
    </row>
    <row r="148" spans="1:10" x14ac:dyDescent="0.25">
      <c r="A148" s="185"/>
      <c r="B148" s="176"/>
      <c r="C148" s="176"/>
      <c r="D148" s="185"/>
      <c r="E148" s="179"/>
      <c r="F148" s="179"/>
      <c r="G148" s="185"/>
      <c r="H148" s="302"/>
      <c r="I148" s="176"/>
      <c r="J148" s="302"/>
    </row>
    <row r="149" spans="1:10" x14ac:dyDescent="0.25">
      <c r="A149" s="185"/>
      <c r="B149" s="176"/>
      <c r="C149" s="176"/>
      <c r="D149" s="185"/>
      <c r="E149" s="179"/>
      <c r="F149" s="179"/>
      <c r="G149" s="185"/>
      <c r="H149" s="302"/>
      <c r="I149" s="176"/>
      <c r="J149" s="302"/>
    </row>
    <row r="150" spans="1:10" x14ac:dyDescent="0.25">
      <c r="A150" s="185"/>
      <c r="B150" s="176"/>
      <c r="C150" s="176"/>
      <c r="D150" s="185"/>
      <c r="E150" s="179"/>
      <c r="F150" s="179"/>
      <c r="G150" s="185"/>
      <c r="H150" s="302"/>
      <c r="I150" s="176"/>
      <c r="J150" s="302"/>
    </row>
    <row r="151" spans="1:10" x14ac:dyDescent="0.25">
      <c r="A151" s="185"/>
      <c r="B151" s="176"/>
      <c r="C151" s="176"/>
      <c r="D151" s="185"/>
      <c r="E151" s="179"/>
      <c r="F151" s="179"/>
      <c r="G151" s="185"/>
      <c r="H151" s="302"/>
      <c r="I151" s="176"/>
      <c r="J151" s="302"/>
    </row>
    <row r="152" spans="1:10" x14ac:dyDescent="0.25">
      <c r="A152" s="185"/>
      <c r="B152" s="176"/>
      <c r="C152" s="176"/>
      <c r="D152" s="185"/>
      <c r="E152" s="179"/>
      <c r="F152" s="179"/>
      <c r="G152" s="185"/>
      <c r="H152" s="302"/>
      <c r="I152" s="176"/>
      <c r="J152" s="302"/>
    </row>
    <row r="153" spans="1:10" x14ac:dyDescent="0.25">
      <c r="A153" s="185"/>
      <c r="B153" s="176"/>
      <c r="C153" s="176"/>
      <c r="D153" s="185"/>
      <c r="E153" s="179"/>
      <c r="F153" s="179"/>
      <c r="G153" s="185"/>
      <c r="H153" s="302"/>
      <c r="I153" s="176"/>
      <c r="J153" s="302"/>
    </row>
    <row r="154" spans="1:10" x14ac:dyDescent="0.25">
      <c r="A154" s="185"/>
      <c r="B154" s="176"/>
      <c r="C154" s="176"/>
      <c r="D154" s="185"/>
      <c r="E154" s="179"/>
      <c r="F154" s="179"/>
      <c r="G154" s="185"/>
      <c r="H154" s="302"/>
      <c r="I154" s="176"/>
      <c r="J154" s="302"/>
    </row>
    <row r="155" spans="1:10" x14ac:dyDescent="0.25">
      <c r="A155" s="185"/>
      <c r="B155" s="176"/>
      <c r="C155" s="176"/>
      <c r="D155" s="185"/>
      <c r="E155" s="179"/>
      <c r="F155" s="179"/>
      <c r="G155" s="185"/>
      <c r="H155" s="302"/>
      <c r="I155" s="176"/>
      <c r="J155" s="302"/>
    </row>
    <row r="156" spans="1:10" x14ac:dyDescent="0.25">
      <c r="A156" s="185"/>
      <c r="B156" s="176"/>
      <c r="C156" s="176"/>
      <c r="D156" s="185"/>
      <c r="E156" s="179"/>
      <c r="F156" s="179"/>
      <c r="G156" s="185"/>
      <c r="H156" s="302"/>
      <c r="I156" s="176"/>
      <c r="J156" s="302"/>
    </row>
    <row r="157" spans="1:10" x14ac:dyDescent="0.25">
      <c r="A157" s="185"/>
      <c r="B157" s="176"/>
      <c r="C157" s="176"/>
      <c r="D157" s="185"/>
      <c r="E157" s="179"/>
      <c r="F157" s="179"/>
      <c r="G157" s="185"/>
      <c r="H157" s="302"/>
      <c r="I157" s="176"/>
      <c r="J157" s="302"/>
    </row>
    <row r="158" spans="1:10" x14ac:dyDescent="0.25">
      <c r="A158" s="185"/>
      <c r="B158" s="176"/>
      <c r="C158" s="176"/>
      <c r="D158" s="185"/>
      <c r="E158" s="179"/>
      <c r="F158" s="179"/>
      <c r="G158" s="185"/>
      <c r="H158" s="302"/>
      <c r="I158" s="176"/>
      <c r="J158" s="302"/>
    </row>
    <row r="159" spans="1:10" x14ac:dyDescent="0.25">
      <c r="A159" s="185"/>
      <c r="B159" s="176"/>
      <c r="C159" s="176"/>
      <c r="D159" s="185"/>
      <c r="E159" s="179"/>
      <c r="F159" s="179"/>
      <c r="G159" s="185"/>
      <c r="H159" s="302"/>
      <c r="I159" s="176"/>
      <c r="J159" s="302"/>
    </row>
    <row r="160" spans="1:10" x14ac:dyDescent="0.25">
      <c r="A160" s="185"/>
      <c r="B160" s="176"/>
      <c r="C160" s="176"/>
      <c r="D160" s="185"/>
      <c r="E160" s="179"/>
      <c r="F160" s="179"/>
      <c r="G160" s="185"/>
      <c r="H160" s="302"/>
      <c r="I160" s="176"/>
      <c r="J160" s="302"/>
    </row>
    <row r="161" spans="1:10" x14ac:dyDescent="0.25">
      <c r="A161" s="185"/>
      <c r="B161" s="176"/>
      <c r="C161" s="176"/>
      <c r="D161" s="185"/>
      <c r="E161" s="179"/>
      <c r="F161" s="179"/>
      <c r="G161" s="185"/>
      <c r="H161" s="302"/>
      <c r="I161" s="176"/>
      <c r="J161" s="302"/>
    </row>
    <row r="162" spans="1:10" x14ac:dyDescent="0.25">
      <c r="A162" s="185"/>
      <c r="B162" s="176"/>
      <c r="C162" s="176"/>
      <c r="D162" s="185"/>
      <c r="E162" s="179"/>
      <c r="F162" s="179"/>
      <c r="G162" s="185"/>
      <c r="H162" s="302"/>
      <c r="I162" s="176"/>
      <c r="J162" s="302"/>
    </row>
    <row r="163" spans="1:10" x14ac:dyDescent="0.25">
      <c r="A163" s="185"/>
      <c r="B163" s="176"/>
      <c r="C163" s="176"/>
      <c r="D163" s="185"/>
      <c r="E163" s="179"/>
      <c r="F163" s="179"/>
      <c r="G163" s="185"/>
      <c r="H163" s="302"/>
      <c r="I163" s="176"/>
      <c r="J163" s="302"/>
    </row>
    <row r="164" spans="1:10" x14ac:dyDescent="0.25">
      <c r="A164" s="185"/>
      <c r="B164" s="176"/>
      <c r="C164" s="176"/>
      <c r="D164" s="185"/>
      <c r="E164" s="179"/>
      <c r="F164" s="179"/>
      <c r="G164" s="185"/>
      <c r="H164" s="302"/>
      <c r="I164" s="176"/>
      <c r="J164" s="302"/>
    </row>
    <row r="165" spans="1:10" x14ac:dyDescent="0.25">
      <c r="A165" s="185"/>
      <c r="B165" s="176"/>
      <c r="C165" s="176"/>
      <c r="D165" s="185"/>
      <c r="E165" s="179"/>
      <c r="F165" s="179"/>
      <c r="G165" s="185"/>
      <c r="H165" s="302"/>
      <c r="I165" s="176"/>
      <c r="J165" s="302"/>
    </row>
    <row r="166" spans="1:10" x14ac:dyDescent="0.25">
      <c r="A166" s="185"/>
      <c r="B166" s="176"/>
      <c r="C166" s="176"/>
      <c r="D166" s="185"/>
      <c r="E166" s="179"/>
      <c r="F166" s="179"/>
      <c r="G166" s="185"/>
      <c r="H166" s="302"/>
      <c r="I166" s="176"/>
      <c r="J166" s="302"/>
    </row>
    <row r="167" spans="1:10" x14ac:dyDescent="0.25">
      <c r="A167" s="185"/>
      <c r="B167" s="176"/>
      <c r="C167" s="176"/>
      <c r="D167" s="185"/>
      <c r="E167" s="179"/>
      <c r="F167" s="179"/>
      <c r="G167" s="185"/>
      <c r="H167" s="302"/>
      <c r="I167" s="176"/>
      <c r="J167" s="302"/>
    </row>
    <row r="168" spans="1:10" x14ac:dyDescent="0.25">
      <c r="A168" s="185"/>
      <c r="B168" s="176"/>
      <c r="C168" s="176"/>
      <c r="D168" s="185"/>
      <c r="E168" s="179"/>
      <c r="F168" s="179"/>
      <c r="G168" s="185"/>
      <c r="H168" s="302"/>
      <c r="I168" s="176"/>
      <c r="J168" s="302"/>
    </row>
    <row r="169" spans="1:10" x14ac:dyDescent="0.25">
      <c r="A169" s="185"/>
      <c r="B169" s="176"/>
      <c r="C169" s="176"/>
      <c r="D169" s="185"/>
      <c r="E169" s="179"/>
      <c r="F169" s="179"/>
      <c r="G169" s="185"/>
      <c r="H169" s="302"/>
      <c r="I169" s="176"/>
      <c r="J169" s="302"/>
    </row>
    <row r="170" spans="1:10" x14ac:dyDescent="0.25">
      <c r="A170" s="185"/>
      <c r="B170" s="176"/>
      <c r="C170" s="176"/>
      <c r="D170" s="185"/>
      <c r="E170" s="179"/>
      <c r="F170" s="179"/>
      <c r="G170" s="185"/>
      <c r="H170" s="302"/>
      <c r="I170" s="176"/>
      <c r="J170" s="302"/>
    </row>
    <row r="171" spans="1:10" x14ac:dyDescent="0.25">
      <c r="A171" s="185"/>
      <c r="B171" s="176"/>
      <c r="C171" s="176"/>
      <c r="D171" s="185"/>
      <c r="E171" s="179"/>
      <c r="F171" s="179"/>
      <c r="G171" s="185"/>
      <c r="H171" s="302"/>
      <c r="I171" s="176"/>
      <c r="J171" s="302"/>
    </row>
    <row r="172" spans="1:10" x14ac:dyDescent="0.25">
      <c r="A172" s="185"/>
      <c r="B172" s="176"/>
      <c r="C172" s="176"/>
      <c r="D172" s="185"/>
      <c r="E172" s="179"/>
      <c r="F172" s="179"/>
      <c r="G172" s="185"/>
      <c r="H172" s="302"/>
      <c r="I172" s="176"/>
      <c r="J172" s="302"/>
    </row>
    <row r="173" spans="1:10" x14ac:dyDescent="0.25">
      <c r="A173" s="185"/>
      <c r="B173" s="176"/>
      <c r="C173" s="176"/>
      <c r="D173" s="185"/>
      <c r="E173" s="179"/>
      <c r="F173" s="179"/>
      <c r="G173" s="185"/>
      <c r="H173" s="302"/>
      <c r="I173" s="176"/>
      <c r="J173" s="302"/>
    </row>
    <row r="174" spans="1:10" x14ac:dyDescent="0.25">
      <c r="A174" s="185"/>
      <c r="B174" s="176"/>
      <c r="C174" s="176"/>
      <c r="D174" s="185"/>
      <c r="E174" s="179"/>
      <c r="F174" s="179"/>
      <c r="G174" s="185"/>
      <c r="H174" s="302"/>
      <c r="I174" s="176"/>
      <c r="J174" s="302"/>
    </row>
    <row r="175" spans="1:10" x14ac:dyDescent="0.25">
      <c r="A175" s="185"/>
      <c r="B175" s="176"/>
      <c r="C175" s="176"/>
      <c r="D175" s="185"/>
      <c r="E175" s="179"/>
      <c r="F175" s="179"/>
      <c r="G175" s="185"/>
      <c r="H175" s="302"/>
      <c r="I175" s="176"/>
      <c r="J175" s="302"/>
    </row>
    <row r="176" spans="1:10" x14ac:dyDescent="0.25">
      <c r="A176" s="185"/>
      <c r="B176" s="176"/>
      <c r="C176" s="176"/>
      <c r="D176" s="185"/>
      <c r="E176" s="179"/>
      <c r="F176" s="179"/>
      <c r="G176" s="185"/>
      <c r="H176" s="302"/>
      <c r="I176" s="176"/>
      <c r="J176" s="302"/>
    </row>
    <row r="177" spans="1:10" x14ac:dyDescent="0.25">
      <c r="A177" s="185"/>
      <c r="B177" s="176"/>
      <c r="C177" s="176"/>
      <c r="D177" s="185"/>
      <c r="E177" s="179"/>
      <c r="F177" s="179"/>
      <c r="G177" s="185"/>
      <c r="H177" s="302"/>
      <c r="I177" s="176"/>
      <c r="J177" s="302"/>
    </row>
    <row r="178" spans="1:10" x14ac:dyDescent="0.25">
      <c r="A178" s="185"/>
      <c r="B178" s="176"/>
      <c r="C178" s="176"/>
      <c r="D178" s="185"/>
      <c r="E178" s="179"/>
      <c r="F178" s="179"/>
      <c r="G178" s="185"/>
      <c r="H178" s="302"/>
      <c r="I178" s="176"/>
      <c r="J178" s="302"/>
    </row>
    <row r="179" spans="1:10" x14ac:dyDescent="0.25">
      <c r="A179" s="185"/>
      <c r="B179" s="176"/>
      <c r="C179" s="176"/>
      <c r="D179" s="185"/>
      <c r="E179" s="179"/>
      <c r="F179" s="179"/>
      <c r="G179" s="185"/>
      <c r="H179" s="302"/>
      <c r="I179" s="176"/>
      <c r="J179" s="302"/>
    </row>
    <row r="180" spans="1:10" x14ac:dyDescent="0.25">
      <c r="A180" s="185"/>
      <c r="B180" s="176"/>
      <c r="C180" s="176"/>
      <c r="D180" s="185"/>
      <c r="E180" s="179"/>
      <c r="F180" s="179"/>
      <c r="G180" s="185"/>
      <c r="H180" s="302"/>
      <c r="I180" s="176"/>
      <c r="J180" s="302"/>
    </row>
    <row r="181" spans="1:10" x14ac:dyDescent="0.25">
      <c r="A181" s="185"/>
      <c r="B181" s="176"/>
      <c r="C181" s="176"/>
      <c r="D181" s="185"/>
      <c r="E181" s="179"/>
      <c r="F181" s="179"/>
      <c r="G181" s="185"/>
      <c r="H181" s="302"/>
      <c r="I181" s="176"/>
      <c r="J181" s="302"/>
    </row>
    <row r="182" spans="1:10" x14ac:dyDescent="0.25">
      <c r="A182" s="185"/>
      <c r="B182" s="176"/>
      <c r="C182" s="176"/>
      <c r="D182" s="185"/>
      <c r="E182" s="179"/>
      <c r="F182" s="179"/>
      <c r="G182" s="185"/>
      <c r="H182" s="302"/>
      <c r="I182" s="176"/>
      <c r="J182" s="302"/>
    </row>
    <row r="183" spans="1:10" x14ac:dyDescent="0.25">
      <c r="A183" s="185"/>
      <c r="B183" s="176"/>
      <c r="C183" s="176"/>
      <c r="D183" s="185"/>
      <c r="E183" s="179"/>
      <c r="F183" s="179"/>
      <c r="G183" s="185"/>
      <c r="H183" s="302"/>
      <c r="I183" s="176"/>
      <c r="J183" s="302"/>
    </row>
    <row r="184" spans="1:10" x14ac:dyDescent="0.25">
      <c r="A184" s="185"/>
      <c r="B184" s="176"/>
      <c r="C184" s="176"/>
      <c r="D184" s="185"/>
      <c r="E184" s="179"/>
      <c r="F184" s="179"/>
      <c r="G184" s="185"/>
      <c r="H184" s="302"/>
      <c r="I184" s="176"/>
      <c r="J184" s="302"/>
    </row>
    <row r="185" spans="1:10" x14ac:dyDescent="0.25">
      <c r="A185" s="185"/>
      <c r="B185" s="176"/>
      <c r="C185" s="176"/>
      <c r="D185" s="185"/>
      <c r="E185" s="179"/>
      <c r="F185" s="179"/>
      <c r="G185" s="185"/>
      <c r="H185" s="302"/>
      <c r="I185" s="176"/>
      <c r="J185" s="302"/>
    </row>
    <row r="186" spans="1:10" x14ac:dyDescent="0.25">
      <c r="A186" s="185"/>
      <c r="B186" s="176"/>
      <c r="C186" s="176"/>
      <c r="D186" s="185"/>
      <c r="E186" s="179"/>
      <c r="F186" s="179"/>
      <c r="G186" s="185"/>
      <c r="H186" s="302"/>
      <c r="I186" s="176"/>
      <c r="J186" s="302"/>
    </row>
    <row r="187" spans="1:10" x14ac:dyDescent="0.25">
      <c r="A187" s="185"/>
      <c r="B187" s="176"/>
      <c r="C187" s="176"/>
      <c r="D187" s="185"/>
      <c r="E187" s="179"/>
      <c r="F187" s="179"/>
      <c r="G187" s="185"/>
      <c r="H187" s="302"/>
      <c r="I187" s="176"/>
      <c r="J187" s="302"/>
    </row>
    <row r="188" spans="1:10" x14ac:dyDescent="0.25">
      <c r="A188" s="185"/>
      <c r="B188" s="176"/>
      <c r="C188" s="176"/>
      <c r="D188" s="185"/>
      <c r="E188" s="179"/>
      <c r="F188" s="179"/>
      <c r="G188" s="185"/>
      <c r="H188" s="302"/>
      <c r="I188" s="176"/>
      <c r="J188" s="302"/>
    </row>
    <row r="189" spans="1:10" x14ac:dyDescent="0.25">
      <c r="A189" s="185"/>
      <c r="B189" s="176"/>
      <c r="C189" s="176"/>
      <c r="D189" s="185"/>
      <c r="E189" s="179"/>
      <c r="F189" s="179"/>
      <c r="G189" s="185"/>
      <c r="H189" s="302"/>
      <c r="I189" s="176"/>
      <c r="J189" s="302"/>
    </row>
    <row r="190" spans="1:10" x14ac:dyDescent="0.25">
      <c r="A190" s="185"/>
      <c r="B190" s="176"/>
      <c r="C190" s="176"/>
      <c r="D190" s="185"/>
      <c r="E190" s="179"/>
      <c r="F190" s="179"/>
      <c r="G190" s="185"/>
      <c r="H190" s="302"/>
      <c r="I190" s="176"/>
      <c r="J190" s="302"/>
    </row>
    <row r="191" spans="1:10" x14ac:dyDescent="0.25">
      <c r="A191" s="185"/>
      <c r="B191" s="176"/>
      <c r="C191" s="176"/>
      <c r="D191" s="185"/>
      <c r="E191" s="179"/>
      <c r="F191" s="179"/>
      <c r="G191" s="185"/>
      <c r="H191" s="302"/>
      <c r="I191" s="176"/>
      <c r="J191" s="302"/>
    </row>
    <row r="192" spans="1:10" x14ac:dyDescent="0.25">
      <c r="A192" s="185"/>
      <c r="B192" s="176"/>
      <c r="C192" s="176"/>
      <c r="D192" s="185"/>
      <c r="E192" s="179"/>
      <c r="F192" s="179"/>
      <c r="G192" s="185"/>
      <c r="H192" s="302"/>
      <c r="I192" s="176"/>
      <c r="J192" s="302"/>
    </row>
    <row r="193" spans="1:10" x14ac:dyDescent="0.25">
      <c r="A193" s="185"/>
      <c r="B193" s="176"/>
      <c r="C193" s="176"/>
      <c r="D193" s="185"/>
      <c r="E193" s="179"/>
      <c r="F193" s="179"/>
      <c r="G193" s="185"/>
      <c r="H193" s="302"/>
      <c r="I193" s="176"/>
      <c r="J193" s="302"/>
    </row>
    <row r="194" spans="1:10" x14ac:dyDescent="0.25">
      <c r="A194" s="185"/>
      <c r="B194" s="176"/>
      <c r="C194" s="176"/>
      <c r="D194" s="185"/>
      <c r="E194" s="179"/>
      <c r="F194" s="179"/>
      <c r="G194" s="185"/>
      <c r="H194" s="302"/>
      <c r="I194" s="176"/>
      <c r="J194" s="302"/>
    </row>
    <row r="195" spans="1:10" x14ac:dyDescent="0.25">
      <c r="A195" s="185"/>
      <c r="B195" s="176"/>
      <c r="C195" s="176"/>
      <c r="D195" s="185"/>
      <c r="E195" s="179"/>
      <c r="F195" s="179"/>
      <c r="G195" s="185"/>
      <c r="H195" s="302"/>
      <c r="I195" s="176"/>
      <c r="J195" s="302"/>
    </row>
    <row r="196" spans="1:10" x14ac:dyDescent="0.25">
      <c r="A196" s="185"/>
      <c r="B196" s="176"/>
      <c r="C196" s="176"/>
      <c r="D196" s="185"/>
      <c r="E196" s="179"/>
      <c r="F196" s="179"/>
      <c r="G196" s="185"/>
      <c r="H196" s="302"/>
      <c r="I196" s="176"/>
      <c r="J196" s="302"/>
    </row>
    <row r="197" spans="1:10" x14ac:dyDescent="0.25">
      <c r="A197" s="185"/>
      <c r="B197" s="176"/>
      <c r="C197" s="176"/>
      <c r="D197" s="185"/>
      <c r="E197" s="179"/>
      <c r="F197" s="179"/>
      <c r="G197" s="185"/>
      <c r="H197" s="302"/>
      <c r="I197" s="176"/>
      <c r="J197" s="302"/>
    </row>
    <row r="198" spans="1:10" x14ac:dyDescent="0.25">
      <c r="A198" s="185"/>
      <c r="B198" s="176"/>
      <c r="C198" s="176"/>
      <c r="D198" s="185"/>
      <c r="E198" s="179"/>
      <c r="F198" s="179"/>
      <c r="G198" s="185"/>
      <c r="H198" s="302"/>
      <c r="I198" s="176"/>
      <c r="J198" s="302"/>
    </row>
    <row r="199" spans="1:10" x14ac:dyDescent="0.25">
      <c r="A199" s="185"/>
      <c r="B199" s="176"/>
      <c r="C199" s="176"/>
      <c r="D199" s="185"/>
      <c r="E199" s="179"/>
      <c r="F199" s="179"/>
      <c r="G199" s="185"/>
      <c r="H199" s="302"/>
      <c r="I199" s="176"/>
      <c r="J199" s="302"/>
    </row>
    <row r="200" spans="1:10" x14ac:dyDescent="0.25">
      <c r="A200" s="185"/>
      <c r="B200" s="176"/>
      <c r="C200" s="176"/>
      <c r="D200" s="185"/>
      <c r="E200" s="179"/>
      <c r="F200" s="179"/>
      <c r="G200" s="185"/>
      <c r="H200" s="302"/>
      <c r="I200" s="176"/>
      <c r="J200" s="302"/>
    </row>
    <row r="201" spans="1:10" x14ac:dyDescent="0.25">
      <c r="A201" s="185"/>
      <c r="B201" s="176"/>
      <c r="C201" s="176"/>
      <c r="D201" s="185"/>
      <c r="E201" s="179"/>
      <c r="F201" s="179"/>
      <c r="G201" s="185"/>
      <c r="H201" s="302"/>
      <c r="I201" s="176"/>
      <c r="J201" s="302"/>
    </row>
    <row r="202" spans="1:10" x14ac:dyDescent="0.25">
      <c r="A202" s="185"/>
      <c r="B202" s="176"/>
      <c r="C202" s="176"/>
      <c r="D202" s="185"/>
      <c r="E202" s="179"/>
      <c r="F202" s="179"/>
      <c r="G202" s="185"/>
      <c r="H202" s="302"/>
      <c r="I202" s="176"/>
      <c r="J202" s="302"/>
    </row>
    <row r="203" spans="1:10" x14ac:dyDescent="0.25">
      <c r="A203" s="185"/>
      <c r="B203" s="176"/>
      <c r="C203" s="176"/>
      <c r="D203" s="185"/>
      <c r="E203" s="179"/>
      <c r="F203" s="179"/>
      <c r="G203" s="185"/>
      <c r="H203" s="302"/>
      <c r="I203" s="176"/>
      <c r="J203" s="302"/>
    </row>
    <row r="204" spans="1:10" x14ac:dyDescent="0.25">
      <c r="A204" s="185"/>
      <c r="B204" s="176"/>
      <c r="C204" s="176"/>
      <c r="D204" s="185"/>
      <c r="E204" s="179"/>
      <c r="F204" s="179"/>
      <c r="G204" s="185"/>
      <c r="H204" s="302"/>
      <c r="I204" s="176"/>
      <c r="J204" s="302"/>
    </row>
    <row r="205" spans="1:10" x14ac:dyDescent="0.25">
      <c r="A205" s="185"/>
      <c r="B205" s="176"/>
      <c r="C205" s="176"/>
      <c r="D205" s="185"/>
      <c r="E205" s="179"/>
      <c r="F205" s="179"/>
      <c r="G205" s="185"/>
      <c r="H205" s="302"/>
      <c r="I205" s="176"/>
      <c r="J205" s="302"/>
    </row>
    <row r="206" spans="1:10" x14ac:dyDescent="0.25">
      <c r="A206" s="185"/>
      <c r="B206" s="176"/>
      <c r="C206" s="176"/>
      <c r="D206" s="185"/>
      <c r="E206" s="179"/>
      <c r="F206" s="179"/>
      <c r="G206" s="185"/>
      <c r="H206" s="302"/>
      <c r="I206" s="176"/>
      <c r="J206" s="302"/>
    </row>
    <row r="207" spans="1:10" x14ac:dyDescent="0.25">
      <c r="A207" s="185"/>
      <c r="B207" s="176"/>
      <c r="C207" s="176"/>
      <c r="D207" s="185"/>
      <c r="E207" s="179"/>
      <c r="F207" s="179"/>
      <c r="G207" s="185"/>
      <c r="H207" s="302"/>
      <c r="I207" s="176"/>
      <c r="J207" s="302"/>
    </row>
    <row r="208" spans="1:10" x14ac:dyDescent="0.25">
      <c r="A208" s="185"/>
      <c r="B208" s="176"/>
      <c r="C208" s="176"/>
      <c r="D208" s="185"/>
      <c r="E208" s="179"/>
      <c r="F208" s="179"/>
      <c r="G208" s="185"/>
      <c r="H208" s="302"/>
      <c r="I208" s="176"/>
      <c r="J208" s="302"/>
    </row>
    <row r="209" spans="1:10" x14ac:dyDescent="0.25">
      <c r="A209" s="185"/>
      <c r="B209" s="176"/>
      <c r="C209" s="176"/>
      <c r="D209" s="185"/>
      <c r="E209" s="179"/>
      <c r="F209" s="179"/>
      <c r="G209" s="185"/>
      <c r="H209" s="302"/>
      <c r="I209" s="176"/>
      <c r="J209" s="302"/>
    </row>
    <row r="210" spans="1:10" x14ac:dyDescent="0.25">
      <c r="A210" s="185"/>
      <c r="B210" s="176"/>
      <c r="C210" s="176"/>
      <c r="D210" s="185"/>
      <c r="E210" s="179"/>
      <c r="F210" s="179"/>
      <c r="G210" s="185"/>
      <c r="H210" s="302"/>
      <c r="I210" s="176"/>
      <c r="J210" s="302"/>
    </row>
    <row r="211" spans="1:10" x14ac:dyDescent="0.25">
      <c r="A211" s="185"/>
      <c r="B211" s="176"/>
      <c r="C211" s="176"/>
      <c r="D211" s="185"/>
      <c r="E211" s="179"/>
      <c r="F211" s="179"/>
      <c r="G211" s="185"/>
      <c r="H211" s="302"/>
      <c r="I211" s="176"/>
      <c r="J211" s="302"/>
    </row>
    <row r="212" spans="1:10" x14ac:dyDescent="0.25">
      <c r="A212" s="185"/>
      <c r="B212" s="176"/>
      <c r="C212" s="176"/>
      <c r="D212" s="185"/>
      <c r="E212" s="179"/>
      <c r="F212" s="179"/>
      <c r="G212" s="185"/>
      <c r="H212" s="302"/>
      <c r="I212" s="176"/>
      <c r="J212" s="302"/>
    </row>
    <row r="213" spans="1:10" x14ac:dyDescent="0.25">
      <c r="A213" s="185"/>
      <c r="B213" s="176"/>
      <c r="C213" s="176"/>
      <c r="D213" s="185"/>
      <c r="E213" s="179"/>
      <c r="F213" s="179"/>
      <c r="G213" s="185"/>
      <c r="H213" s="302"/>
      <c r="I213" s="176"/>
      <c r="J213" s="302"/>
    </row>
    <row r="214" spans="1:10" x14ac:dyDescent="0.25">
      <c r="A214" s="185"/>
      <c r="B214" s="176"/>
      <c r="C214" s="176"/>
      <c r="D214" s="185"/>
      <c r="E214" s="179"/>
      <c r="F214" s="179"/>
      <c r="G214" s="185"/>
      <c r="H214" s="302"/>
      <c r="I214" s="176"/>
      <c r="J214" s="302"/>
    </row>
    <row r="215" spans="1:10" x14ac:dyDescent="0.25">
      <c r="A215" s="185"/>
      <c r="B215" s="176"/>
      <c r="C215" s="176"/>
      <c r="D215" s="185"/>
      <c r="E215" s="179"/>
      <c r="F215" s="179"/>
      <c r="G215" s="185"/>
      <c r="H215" s="302"/>
      <c r="I215" s="176"/>
      <c r="J215" s="302"/>
    </row>
    <row r="216" spans="1:10" x14ac:dyDescent="0.25">
      <c r="A216" s="185"/>
      <c r="B216" s="176"/>
      <c r="C216" s="176"/>
      <c r="D216" s="185"/>
      <c r="E216" s="179"/>
      <c r="F216" s="179"/>
      <c r="G216" s="185"/>
      <c r="H216" s="302"/>
      <c r="I216" s="176"/>
      <c r="J216" s="302"/>
    </row>
    <row r="217" spans="1:10" x14ac:dyDescent="0.25">
      <c r="A217" s="185"/>
      <c r="B217" s="176"/>
      <c r="C217" s="176"/>
      <c r="D217" s="185"/>
      <c r="E217" s="179"/>
      <c r="F217" s="179"/>
      <c r="G217" s="185"/>
      <c r="H217" s="302"/>
      <c r="I217" s="176"/>
      <c r="J217" s="302"/>
    </row>
    <row r="218" spans="1:10" x14ac:dyDescent="0.25">
      <c r="A218" s="185"/>
      <c r="B218" s="176"/>
      <c r="C218" s="176"/>
      <c r="D218" s="185"/>
      <c r="E218" s="179"/>
      <c r="F218" s="179"/>
      <c r="G218" s="185"/>
      <c r="H218" s="302"/>
      <c r="I218" s="176"/>
      <c r="J218" s="302"/>
    </row>
    <row r="219" spans="1:10" x14ac:dyDescent="0.25">
      <c r="A219" s="185"/>
      <c r="B219" s="176"/>
      <c r="C219" s="176"/>
      <c r="D219" s="185"/>
      <c r="E219" s="179"/>
      <c r="F219" s="179"/>
      <c r="G219" s="185"/>
      <c r="H219" s="302"/>
      <c r="I219" s="176"/>
      <c r="J219" s="302"/>
    </row>
    <row r="220" spans="1:10" x14ac:dyDescent="0.25">
      <c r="A220" s="185"/>
      <c r="B220" s="176"/>
      <c r="C220" s="176"/>
      <c r="D220" s="185"/>
      <c r="E220" s="179"/>
      <c r="F220" s="179"/>
      <c r="G220" s="185"/>
      <c r="H220" s="302"/>
      <c r="I220" s="176"/>
      <c r="J220" s="302"/>
    </row>
    <row r="221" spans="1:10" x14ac:dyDescent="0.25">
      <c r="A221" s="185"/>
      <c r="B221" s="176"/>
      <c r="C221" s="176"/>
      <c r="D221" s="185"/>
      <c r="E221" s="179"/>
      <c r="F221" s="179"/>
      <c r="G221" s="185"/>
      <c r="H221" s="302"/>
      <c r="I221" s="176"/>
      <c r="J221" s="302"/>
    </row>
    <row r="222" spans="1:10" x14ac:dyDescent="0.25">
      <c r="A222" s="185"/>
      <c r="B222" s="176"/>
      <c r="C222" s="176"/>
      <c r="D222" s="185"/>
      <c r="E222" s="179"/>
      <c r="F222" s="179"/>
      <c r="G222" s="185"/>
      <c r="H222" s="302"/>
      <c r="I222" s="176"/>
      <c r="J222" s="302"/>
    </row>
    <row r="223" spans="1:10" x14ac:dyDescent="0.25">
      <c r="A223" s="185"/>
      <c r="B223" s="176"/>
      <c r="C223" s="176"/>
      <c r="D223" s="185"/>
      <c r="E223" s="179"/>
      <c r="F223" s="179"/>
      <c r="G223" s="185"/>
      <c r="H223" s="302"/>
      <c r="I223" s="176"/>
      <c r="J223" s="302"/>
    </row>
    <row r="224" spans="1:10" x14ac:dyDescent="0.25">
      <c r="A224" s="185"/>
      <c r="B224" s="176"/>
      <c r="C224" s="176"/>
      <c r="D224" s="185"/>
      <c r="E224" s="179"/>
      <c r="F224" s="179"/>
      <c r="G224" s="185"/>
      <c r="H224" s="302"/>
      <c r="I224" s="176"/>
      <c r="J224" s="302"/>
    </row>
    <row r="225" spans="1:10" x14ac:dyDescent="0.25">
      <c r="A225" s="185"/>
      <c r="B225" s="176"/>
      <c r="C225" s="176"/>
      <c r="D225" s="185"/>
      <c r="E225" s="179"/>
      <c r="F225" s="179"/>
      <c r="G225" s="185"/>
      <c r="H225" s="302"/>
      <c r="I225" s="176"/>
      <c r="J225" s="302"/>
    </row>
    <row r="226" spans="1:10" x14ac:dyDescent="0.25">
      <c r="A226" s="185"/>
      <c r="B226" s="176"/>
      <c r="C226" s="176"/>
      <c r="D226" s="185"/>
      <c r="E226" s="179"/>
      <c r="F226" s="179"/>
      <c r="G226" s="185"/>
      <c r="H226" s="302"/>
      <c r="I226" s="176"/>
      <c r="J226" s="302"/>
    </row>
    <row r="227" spans="1:10" x14ac:dyDescent="0.25">
      <c r="A227" s="185"/>
      <c r="B227" s="176"/>
      <c r="C227" s="176"/>
      <c r="D227" s="185"/>
      <c r="E227" s="179"/>
      <c r="F227" s="179"/>
      <c r="G227" s="185"/>
      <c r="H227" s="302"/>
      <c r="I227" s="176"/>
      <c r="J227" s="302"/>
    </row>
    <row r="228" spans="1:10" x14ac:dyDescent="0.25">
      <c r="A228" s="185"/>
      <c r="B228" s="176"/>
      <c r="C228" s="176"/>
      <c r="D228" s="185"/>
      <c r="E228" s="179"/>
      <c r="F228" s="179"/>
      <c r="G228" s="185"/>
      <c r="H228" s="302"/>
      <c r="I228" s="176"/>
      <c r="J228" s="302"/>
    </row>
    <row r="229" spans="1:10" x14ac:dyDescent="0.25">
      <c r="A229" s="185"/>
      <c r="B229" s="176"/>
      <c r="C229" s="176"/>
      <c r="D229" s="185"/>
      <c r="E229" s="179"/>
      <c r="F229" s="179"/>
      <c r="G229" s="185"/>
      <c r="H229" s="302"/>
      <c r="I229" s="176"/>
      <c r="J229" s="302"/>
    </row>
    <row r="230" spans="1:10" x14ac:dyDescent="0.25">
      <c r="A230" s="185"/>
      <c r="B230" s="176"/>
      <c r="C230" s="176"/>
      <c r="D230" s="185"/>
      <c r="E230" s="179"/>
      <c r="F230" s="179"/>
      <c r="G230" s="185"/>
      <c r="H230" s="302"/>
      <c r="I230" s="176"/>
      <c r="J230" s="302"/>
    </row>
    <row r="231" spans="1:10" x14ac:dyDescent="0.25">
      <c r="A231" s="185"/>
      <c r="B231" s="176"/>
      <c r="C231" s="176"/>
      <c r="D231" s="185"/>
      <c r="E231" s="179"/>
      <c r="F231" s="179"/>
      <c r="G231" s="185"/>
      <c r="H231" s="302"/>
      <c r="I231" s="176"/>
      <c r="J231" s="302"/>
    </row>
    <row r="232" spans="1:10" x14ac:dyDescent="0.25">
      <c r="A232" s="185"/>
      <c r="B232" s="176"/>
      <c r="C232" s="176"/>
      <c r="D232" s="185"/>
      <c r="E232" s="179"/>
      <c r="F232" s="179"/>
      <c r="G232" s="185"/>
      <c r="H232" s="302"/>
      <c r="I232" s="176"/>
      <c r="J232" s="302"/>
    </row>
    <row r="233" spans="1:10" x14ac:dyDescent="0.25">
      <c r="A233" s="185"/>
      <c r="B233" s="176"/>
      <c r="C233" s="176"/>
      <c r="D233" s="185"/>
      <c r="E233" s="179"/>
      <c r="F233" s="179"/>
      <c r="G233" s="185"/>
      <c r="H233" s="302"/>
      <c r="I233" s="176"/>
      <c r="J233" s="302"/>
    </row>
    <row r="234" spans="1:10" x14ac:dyDescent="0.25">
      <c r="A234" s="185"/>
      <c r="B234" s="176"/>
      <c r="C234" s="176"/>
      <c r="D234" s="185"/>
      <c r="E234" s="179"/>
      <c r="F234" s="179"/>
      <c r="G234" s="185"/>
      <c r="H234" s="302"/>
      <c r="I234" s="176"/>
      <c r="J234" s="302"/>
    </row>
    <row r="235" spans="1:10" x14ac:dyDescent="0.25">
      <c r="A235" s="185"/>
      <c r="B235" s="176"/>
      <c r="C235" s="176"/>
      <c r="D235" s="185"/>
      <c r="E235" s="179"/>
      <c r="F235" s="179"/>
      <c r="G235" s="185"/>
      <c r="H235" s="302"/>
      <c r="I235" s="176"/>
      <c r="J235" s="302"/>
    </row>
    <row r="236" spans="1:10" x14ac:dyDescent="0.25">
      <c r="A236" s="185"/>
      <c r="B236" s="176"/>
      <c r="C236" s="176"/>
      <c r="D236" s="185"/>
      <c r="E236" s="179"/>
      <c r="F236" s="179"/>
      <c r="G236" s="185"/>
      <c r="H236" s="302"/>
      <c r="I236" s="176"/>
      <c r="J236" s="302"/>
    </row>
    <row r="237" spans="1:10" x14ac:dyDescent="0.25">
      <c r="A237" s="185"/>
      <c r="B237" s="176"/>
      <c r="C237" s="176"/>
      <c r="D237" s="185"/>
      <c r="E237" s="179"/>
      <c r="F237" s="179"/>
      <c r="G237" s="185"/>
      <c r="H237" s="302"/>
      <c r="I237" s="176"/>
      <c r="J237" s="302"/>
    </row>
    <row r="238" spans="1:10" x14ac:dyDescent="0.25">
      <c r="A238" s="185"/>
      <c r="B238" s="176"/>
      <c r="C238" s="176"/>
      <c r="D238" s="185"/>
      <c r="E238" s="179"/>
      <c r="F238" s="179"/>
      <c r="G238" s="185"/>
      <c r="H238" s="302"/>
      <c r="I238" s="176"/>
      <c r="J238" s="302"/>
    </row>
    <row r="239" spans="1:10" x14ac:dyDescent="0.25">
      <c r="A239" s="185"/>
      <c r="B239" s="176"/>
      <c r="C239" s="176"/>
      <c r="D239" s="185"/>
      <c r="E239" s="179"/>
      <c r="F239" s="179"/>
      <c r="G239" s="185"/>
      <c r="H239" s="302"/>
      <c r="I239" s="176"/>
      <c r="J239" s="302"/>
    </row>
    <row r="240" spans="1:10" x14ac:dyDescent="0.25">
      <c r="A240" s="185"/>
      <c r="B240" s="176"/>
      <c r="C240" s="176"/>
      <c r="D240" s="185"/>
      <c r="E240" s="179"/>
      <c r="F240" s="179"/>
      <c r="G240" s="185"/>
      <c r="H240" s="302"/>
      <c r="I240" s="176"/>
      <c r="J240" s="302"/>
    </row>
    <row r="241" spans="1:10" x14ac:dyDescent="0.25">
      <c r="A241" s="185"/>
      <c r="B241" s="176"/>
      <c r="C241" s="176"/>
      <c r="D241" s="185"/>
      <c r="E241" s="179"/>
      <c r="F241" s="179"/>
      <c r="G241" s="185"/>
      <c r="H241" s="302"/>
      <c r="I241" s="176"/>
      <c r="J241" s="302"/>
    </row>
    <row r="242" spans="1:10" x14ac:dyDescent="0.25">
      <c r="A242" s="185"/>
      <c r="B242" s="176"/>
      <c r="C242" s="176"/>
      <c r="D242" s="185"/>
      <c r="E242" s="179"/>
      <c r="F242" s="179"/>
      <c r="G242" s="185"/>
      <c r="H242" s="302"/>
      <c r="I242" s="176"/>
      <c r="J242" s="302"/>
    </row>
    <row r="243" spans="1:10" x14ac:dyDescent="0.25">
      <c r="A243" s="185"/>
      <c r="B243" s="176"/>
      <c r="C243" s="176"/>
      <c r="D243" s="185"/>
      <c r="E243" s="179"/>
      <c r="F243" s="179"/>
      <c r="G243" s="185"/>
      <c r="H243" s="302"/>
      <c r="I243" s="176"/>
      <c r="J243" s="302"/>
    </row>
    <row r="244" spans="1:10" x14ac:dyDescent="0.25">
      <c r="A244" s="185"/>
      <c r="B244" s="176"/>
      <c r="C244" s="176"/>
      <c r="D244" s="185"/>
      <c r="E244" s="179"/>
      <c r="F244" s="179"/>
      <c r="G244" s="185"/>
      <c r="H244" s="302"/>
      <c r="I244" s="176"/>
      <c r="J244" s="302"/>
    </row>
    <row r="245" spans="1:10" x14ac:dyDescent="0.25">
      <c r="A245" s="185"/>
      <c r="B245" s="176"/>
      <c r="C245" s="176"/>
      <c r="D245" s="185"/>
      <c r="E245" s="179"/>
      <c r="F245" s="179"/>
      <c r="G245" s="185"/>
      <c r="H245" s="302"/>
      <c r="I245" s="176"/>
      <c r="J245" s="302"/>
    </row>
    <row r="246" spans="1:10" x14ac:dyDescent="0.25">
      <c r="A246" s="185"/>
      <c r="B246" s="176"/>
      <c r="C246" s="176"/>
      <c r="D246" s="185"/>
      <c r="E246" s="179"/>
      <c r="F246" s="179"/>
      <c r="G246" s="185"/>
      <c r="H246" s="302"/>
      <c r="I246" s="176"/>
      <c r="J246" s="302"/>
    </row>
    <row r="247" spans="1:10" x14ac:dyDescent="0.25">
      <c r="A247" s="185"/>
      <c r="B247" s="176"/>
      <c r="C247" s="176"/>
      <c r="D247" s="185"/>
      <c r="E247" s="179"/>
      <c r="F247" s="179"/>
      <c r="G247" s="185"/>
      <c r="H247" s="302"/>
      <c r="I247" s="176"/>
      <c r="J247" s="302"/>
    </row>
    <row r="248" spans="1:10" x14ac:dyDescent="0.25">
      <c r="A248" s="185"/>
      <c r="B248" s="176"/>
      <c r="C248" s="176"/>
      <c r="D248" s="185"/>
      <c r="E248" s="179"/>
      <c r="F248" s="179"/>
      <c r="G248" s="185"/>
      <c r="H248" s="302"/>
      <c r="I248" s="176"/>
      <c r="J248" s="302"/>
    </row>
    <row r="249" spans="1:10" x14ac:dyDescent="0.25">
      <c r="A249" s="185"/>
      <c r="B249" s="176"/>
      <c r="C249" s="176"/>
      <c r="D249" s="185"/>
      <c r="E249" s="179"/>
      <c r="F249" s="179"/>
      <c r="G249" s="185"/>
      <c r="H249" s="302"/>
      <c r="I249" s="176"/>
      <c r="J249" s="302"/>
    </row>
    <row r="250" spans="1:10" x14ac:dyDescent="0.25">
      <c r="A250" s="185"/>
      <c r="B250" s="176"/>
      <c r="C250" s="176"/>
      <c r="D250" s="185"/>
      <c r="E250" s="179"/>
      <c r="F250" s="179"/>
      <c r="G250" s="185"/>
      <c r="H250" s="302"/>
      <c r="I250" s="176"/>
      <c r="J250" s="302"/>
    </row>
    <row r="251" spans="1:10" x14ac:dyDescent="0.25">
      <c r="A251" s="185"/>
      <c r="B251" s="176"/>
      <c r="C251" s="176"/>
      <c r="D251" s="185"/>
      <c r="E251" s="179"/>
      <c r="F251" s="179"/>
      <c r="G251" s="185"/>
      <c r="H251" s="302"/>
      <c r="I251" s="176"/>
      <c r="J251" s="302"/>
    </row>
    <row r="252" spans="1:10" x14ac:dyDescent="0.25">
      <c r="A252" s="185"/>
      <c r="B252" s="176"/>
      <c r="C252" s="176"/>
      <c r="D252" s="185"/>
      <c r="E252" s="179"/>
      <c r="F252" s="179"/>
      <c r="G252" s="185"/>
      <c r="H252" s="302"/>
      <c r="I252" s="176"/>
      <c r="J252" s="302"/>
    </row>
    <row r="253" spans="1:10" x14ac:dyDescent="0.25">
      <c r="A253" s="185"/>
      <c r="B253" s="176"/>
      <c r="C253" s="176"/>
      <c r="D253" s="185"/>
      <c r="E253" s="179"/>
      <c r="F253" s="179"/>
      <c r="G253" s="185"/>
      <c r="H253" s="302"/>
      <c r="I253" s="176"/>
      <c r="J253" s="302"/>
    </row>
    <row r="254" spans="1:10" x14ac:dyDescent="0.25">
      <c r="A254" s="185"/>
      <c r="B254" s="176"/>
      <c r="C254" s="176"/>
      <c r="D254" s="185"/>
      <c r="E254" s="179"/>
      <c r="F254" s="179"/>
      <c r="G254" s="185"/>
      <c r="H254" s="302"/>
      <c r="I254" s="176"/>
      <c r="J254" s="302"/>
    </row>
    <row r="255" spans="1:10" x14ac:dyDescent="0.25">
      <c r="A255" s="185"/>
      <c r="B255" s="176"/>
      <c r="C255" s="176"/>
      <c r="D255" s="185"/>
      <c r="E255" s="179"/>
      <c r="F255" s="179"/>
      <c r="G255" s="185"/>
      <c r="H255" s="302"/>
      <c r="I255" s="176"/>
      <c r="J255" s="302"/>
    </row>
    <row r="256" spans="1:10" x14ac:dyDescent="0.25">
      <c r="A256" s="185"/>
      <c r="B256" s="176"/>
      <c r="C256" s="176"/>
      <c r="D256" s="185"/>
      <c r="E256" s="179"/>
      <c r="F256" s="179"/>
      <c r="G256" s="185"/>
      <c r="H256" s="302"/>
      <c r="I256" s="176"/>
      <c r="J256" s="302"/>
    </row>
    <row r="257" spans="1:10" x14ac:dyDescent="0.25">
      <c r="A257" s="185"/>
      <c r="B257" s="176"/>
      <c r="C257" s="176"/>
      <c r="D257" s="185"/>
      <c r="E257" s="179"/>
      <c r="F257" s="179"/>
      <c r="G257" s="185"/>
      <c r="H257" s="302"/>
      <c r="I257" s="176"/>
      <c r="J257" s="302"/>
    </row>
    <row r="258" spans="1:10" x14ac:dyDescent="0.25">
      <c r="A258" s="185"/>
      <c r="B258" s="176"/>
      <c r="C258" s="176"/>
      <c r="D258" s="185"/>
      <c r="E258" s="179"/>
      <c r="F258" s="179"/>
      <c r="G258" s="185"/>
      <c r="H258" s="302"/>
      <c r="I258" s="176"/>
      <c r="J258" s="302"/>
    </row>
    <row r="259" spans="1:10" x14ac:dyDescent="0.25">
      <c r="A259" s="185"/>
      <c r="B259" s="176"/>
      <c r="C259" s="176"/>
      <c r="D259" s="185"/>
      <c r="E259" s="179"/>
      <c r="F259" s="179"/>
      <c r="G259" s="185"/>
      <c r="H259" s="302"/>
      <c r="I259" s="176"/>
      <c r="J259" s="302"/>
    </row>
    <row r="260" spans="1:10" x14ac:dyDescent="0.25">
      <c r="A260" s="185"/>
      <c r="B260" s="176"/>
      <c r="C260" s="176"/>
      <c r="D260" s="185"/>
      <c r="E260" s="179"/>
      <c r="F260" s="179"/>
      <c r="G260" s="185"/>
      <c r="H260" s="302"/>
      <c r="I260" s="176"/>
      <c r="J260" s="302"/>
    </row>
    <row r="261" spans="1:10" x14ac:dyDescent="0.25">
      <c r="A261" s="185"/>
      <c r="B261" s="176"/>
      <c r="C261" s="176"/>
      <c r="D261" s="185"/>
      <c r="E261" s="179"/>
      <c r="F261" s="179"/>
      <c r="G261" s="185"/>
      <c r="H261" s="302"/>
      <c r="I261" s="176"/>
      <c r="J261" s="302"/>
    </row>
    <row r="262" spans="1:10" x14ac:dyDescent="0.25">
      <c r="A262" s="185"/>
      <c r="B262" s="176"/>
      <c r="C262" s="176"/>
      <c r="D262" s="185"/>
      <c r="E262" s="179"/>
      <c r="F262" s="179"/>
      <c r="G262" s="185"/>
      <c r="H262" s="302"/>
      <c r="I262" s="176"/>
      <c r="J262" s="302"/>
    </row>
    <row r="263" spans="1:10" x14ac:dyDescent="0.25">
      <c r="A263" s="185"/>
      <c r="B263" s="176"/>
      <c r="C263" s="176"/>
      <c r="D263" s="185"/>
      <c r="E263" s="179"/>
      <c r="F263" s="179"/>
      <c r="G263" s="185"/>
      <c r="H263" s="302"/>
      <c r="I263" s="176"/>
      <c r="J263" s="302"/>
    </row>
    <row r="264" spans="1:10" x14ac:dyDescent="0.25">
      <c r="A264" s="185"/>
      <c r="B264" s="176"/>
      <c r="C264" s="176"/>
      <c r="D264" s="185"/>
      <c r="E264" s="179"/>
      <c r="F264" s="179"/>
      <c r="G264" s="185"/>
      <c r="H264" s="302"/>
      <c r="I264" s="176"/>
      <c r="J264" s="302"/>
    </row>
    <row r="265" spans="1:10" x14ac:dyDescent="0.25">
      <c r="A265" s="185"/>
      <c r="B265" s="176"/>
      <c r="C265" s="176"/>
      <c r="D265" s="185"/>
      <c r="E265" s="179"/>
      <c r="F265" s="179"/>
      <c r="G265" s="185"/>
      <c r="H265" s="302"/>
      <c r="I265" s="176"/>
      <c r="J265" s="302"/>
    </row>
    <row r="266" spans="1:10" x14ac:dyDescent="0.25">
      <c r="A266" s="185"/>
      <c r="B266" s="176"/>
      <c r="C266" s="176"/>
      <c r="D266" s="185"/>
      <c r="E266" s="179"/>
      <c r="F266" s="179"/>
      <c r="G266" s="185"/>
      <c r="H266" s="302"/>
      <c r="I266" s="176"/>
      <c r="J266" s="302"/>
    </row>
    <row r="267" spans="1:10" x14ac:dyDescent="0.25">
      <c r="A267" s="185"/>
      <c r="B267" s="176"/>
      <c r="C267" s="176"/>
      <c r="D267" s="185"/>
      <c r="E267" s="179"/>
      <c r="F267" s="179"/>
      <c r="G267" s="185"/>
      <c r="H267" s="302"/>
      <c r="I267" s="176"/>
      <c r="J267" s="302"/>
    </row>
    <row r="268" spans="1:10" x14ac:dyDescent="0.25">
      <c r="A268" s="185"/>
      <c r="B268" s="176"/>
      <c r="C268" s="176"/>
      <c r="D268" s="185"/>
      <c r="E268" s="179"/>
      <c r="F268" s="179"/>
      <c r="G268" s="185"/>
      <c r="H268" s="302"/>
      <c r="I268" s="176"/>
      <c r="J268" s="302"/>
    </row>
    <row r="269" spans="1:10" x14ac:dyDescent="0.25">
      <c r="A269" s="185"/>
      <c r="B269" s="176"/>
      <c r="C269" s="176"/>
      <c r="D269" s="185"/>
      <c r="E269" s="179"/>
      <c r="F269" s="179"/>
      <c r="G269" s="185"/>
      <c r="H269" s="302"/>
      <c r="I269" s="176"/>
      <c r="J269" s="302"/>
    </row>
    <row r="270" spans="1:10" x14ac:dyDescent="0.25">
      <c r="A270" s="185"/>
      <c r="B270" s="176"/>
      <c r="C270" s="176"/>
      <c r="D270" s="185"/>
      <c r="E270" s="179"/>
      <c r="F270" s="179"/>
      <c r="G270" s="185"/>
      <c r="H270" s="302"/>
      <c r="I270" s="176"/>
      <c r="J270" s="302"/>
    </row>
    <row r="271" spans="1:10" x14ac:dyDescent="0.25">
      <c r="A271" s="185"/>
      <c r="B271" s="176"/>
      <c r="C271" s="176"/>
      <c r="D271" s="185"/>
      <c r="E271" s="179"/>
      <c r="F271" s="179"/>
      <c r="G271" s="185"/>
      <c r="H271" s="302"/>
      <c r="I271" s="176"/>
      <c r="J271" s="302"/>
    </row>
    <row r="272" spans="1:10" x14ac:dyDescent="0.25">
      <c r="A272" s="185"/>
      <c r="B272" s="176"/>
      <c r="C272" s="176"/>
      <c r="D272" s="185"/>
      <c r="E272" s="179"/>
      <c r="F272" s="179"/>
      <c r="G272" s="185"/>
      <c r="H272" s="302"/>
      <c r="I272" s="176"/>
      <c r="J272" s="302"/>
    </row>
    <row r="273" spans="1:10" x14ac:dyDescent="0.25">
      <c r="A273" s="185"/>
      <c r="B273" s="176"/>
      <c r="C273" s="176"/>
      <c r="D273" s="185"/>
      <c r="E273" s="179"/>
      <c r="F273" s="179"/>
      <c r="G273" s="185"/>
      <c r="H273" s="302"/>
      <c r="I273" s="176"/>
      <c r="J273" s="302"/>
    </row>
    <row r="274" spans="1:10" x14ac:dyDescent="0.25">
      <c r="A274" s="185"/>
      <c r="B274" s="176"/>
      <c r="C274" s="176"/>
      <c r="D274" s="185"/>
      <c r="E274" s="179"/>
      <c r="F274" s="179"/>
      <c r="G274" s="185"/>
      <c r="H274" s="302"/>
      <c r="I274" s="176"/>
      <c r="J274" s="302"/>
    </row>
    <row r="275" spans="1:10" x14ac:dyDescent="0.25">
      <c r="A275" s="185"/>
      <c r="B275" s="176"/>
      <c r="C275" s="176"/>
      <c r="D275" s="185"/>
      <c r="E275" s="179"/>
      <c r="F275" s="179"/>
      <c r="G275" s="185"/>
      <c r="H275" s="302"/>
      <c r="I275" s="176"/>
      <c r="J275" s="302"/>
    </row>
    <row r="276" spans="1:10" x14ac:dyDescent="0.25">
      <c r="A276" s="185"/>
      <c r="B276" s="176"/>
      <c r="C276" s="176"/>
      <c r="D276" s="185"/>
      <c r="E276" s="179"/>
      <c r="F276" s="179"/>
      <c r="G276" s="185"/>
      <c r="H276" s="302"/>
      <c r="I276" s="176"/>
      <c r="J276" s="302"/>
    </row>
    <row r="277" spans="1:10" x14ac:dyDescent="0.25">
      <c r="A277" s="185"/>
      <c r="B277" s="176"/>
      <c r="C277" s="176"/>
      <c r="D277" s="185"/>
      <c r="E277" s="179"/>
      <c r="F277" s="179"/>
      <c r="G277" s="185"/>
      <c r="H277" s="302"/>
      <c r="I277" s="176"/>
      <c r="J277" s="302"/>
    </row>
    <row r="278" spans="1:10" x14ac:dyDescent="0.25">
      <c r="A278" s="185"/>
      <c r="B278" s="176"/>
      <c r="C278" s="176"/>
      <c r="D278" s="185"/>
      <c r="E278" s="179"/>
      <c r="F278" s="179"/>
      <c r="G278" s="185"/>
      <c r="H278" s="302"/>
      <c r="I278" s="176"/>
      <c r="J278" s="302"/>
    </row>
    <row r="279" spans="1:10" x14ac:dyDescent="0.25">
      <c r="A279" s="185"/>
      <c r="B279" s="176"/>
      <c r="C279" s="176"/>
      <c r="D279" s="185"/>
      <c r="E279" s="179"/>
      <c r="F279" s="179"/>
      <c r="G279" s="185"/>
      <c r="H279" s="302"/>
      <c r="I279" s="176"/>
      <c r="J279" s="302"/>
    </row>
    <row r="280" spans="1:10" x14ac:dyDescent="0.25">
      <c r="A280" s="185"/>
      <c r="B280" s="176"/>
      <c r="C280" s="176"/>
      <c r="D280" s="185"/>
      <c r="E280" s="179"/>
      <c r="F280" s="179"/>
      <c r="G280" s="185"/>
      <c r="H280" s="302"/>
      <c r="I280" s="176"/>
      <c r="J280" s="302"/>
    </row>
    <row r="281" spans="1:10" x14ac:dyDescent="0.25">
      <c r="A281" s="185"/>
      <c r="B281" s="176"/>
      <c r="C281" s="176"/>
      <c r="D281" s="185"/>
      <c r="E281" s="179"/>
      <c r="F281" s="179"/>
      <c r="G281" s="185"/>
      <c r="H281" s="302"/>
      <c r="I281" s="176"/>
      <c r="J281" s="302"/>
    </row>
    <row r="282" spans="1:10" x14ac:dyDescent="0.25">
      <c r="A282" s="185"/>
      <c r="B282" s="176"/>
      <c r="C282" s="176"/>
      <c r="D282" s="185"/>
      <c r="E282" s="179"/>
      <c r="F282" s="179"/>
      <c r="G282" s="185"/>
      <c r="H282" s="302"/>
      <c r="I282" s="176"/>
      <c r="J282" s="302"/>
    </row>
    <row r="283" spans="1:10" x14ac:dyDescent="0.25">
      <c r="A283" s="185"/>
      <c r="B283" s="176"/>
      <c r="C283" s="176"/>
      <c r="D283" s="185"/>
      <c r="E283" s="179"/>
      <c r="F283" s="179"/>
      <c r="G283" s="185"/>
      <c r="H283" s="302"/>
      <c r="I283" s="176"/>
      <c r="J283" s="302"/>
    </row>
    <row r="284" spans="1:10" x14ac:dyDescent="0.25">
      <c r="A284" s="185"/>
      <c r="B284" s="176"/>
      <c r="C284" s="176"/>
      <c r="D284" s="185"/>
      <c r="E284" s="179"/>
      <c r="F284" s="179"/>
      <c r="G284" s="185"/>
      <c r="H284" s="302"/>
      <c r="I284" s="176"/>
      <c r="J284" s="302"/>
    </row>
    <row r="285" spans="1:10" x14ac:dyDescent="0.25">
      <c r="A285" s="185"/>
      <c r="B285" s="176"/>
      <c r="C285" s="176"/>
      <c r="D285" s="185"/>
      <c r="E285" s="179"/>
      <c r="F285" s="179"/>
      <c r="G285" s="185"/>
      <c r="H285" s="302"/>
      <c r="I285" s="176"/>
      <c r="J285" s="302"/>
    </row>
    <row r="286" spans="1:10" x14ac:dyDescent="0.25">
      <c r="A286" s="185"/>
      <c r="B286" s="176"/>
      <c r="C286" s="176"/>
      <c r="D286" s="185"/>
      <c r="E286" s="179"/>
      <c r="F286" s="179"/>
      <c r="G286" s="185"/>
      <c r="H286" s="302"/>
      <c r="I286" s="176"/>
      <c r="J286" s="302"/>
    </row>
    <row r="287" spans="1:10" x14ac:dyDescent="0.25">
      <c r="A287" s="185"/>
      <c r="B287" s="176"/>
      <c r="C287" s="176"/>
      <c r="D287" s="185"/>
      <c r="E287" s="179"/>
      <c r="F287" s="179"/>
      <c r="G287" s="185"/>
      <c r="H287" s="302"/>
      <c r="I287" s="176"/>
      <c r="J287" s="302"/>
    </row>
    <row r="288" spans="1:10" x14ac:dyDescent="0.25">
      <c r="A288" s="185"/>
      <c r="B288" s="176"/>
      <c r="C288" s="176"/>
      <c r="D288" s="185"/>
      <c r="E288" s="179"/>
      <c r="F288" s="179"/>
      <c r="G288" s="185"/>
      <c r="H288" s="302"/>
      <c r="I288" s="176"/>
      <c r="J288" s="302"/>
    </row>
    <row r="289" spans="1:10" x14ac:dyDescent="0.25">
      <c r="A289" s="185"/>
      <c r="B289" s="176"/>
      <c r="C289" s="176"/>
      <c r="D289" s="185"/>
      <c r="E289" s="179"/>
      <c r="F289" s="179"/>
      <c r="G289" s="185"/>
      <c r="H289" s="302"/>
      <c r="I289" s="176"/>
      <c r="J289" s="302"/>
    </row>
    <row r="290" spans="1:10" x14ac:dyDescent="0.25">
      <c r="A290" s="185"/>
      <c r="B290" s="176"/>
      <c r="C290" s="176"/>
      <c r="D290" s="185"/>
      <c r="E290" s="179"/>
      <c r="F290" s="179"/>
      <c r="G290" s="185"/>
      <c r="H290" s="302"/>
      <c r="I290" s="176"/>
      <c r="J290" s="302"/>
    </row>
    <row r="291" spans="1:10" x14ac:dyDescent="0.25">
      <c r="A291" s="185"/>
      <c r="B291" s="176"/>
      <c r="C291" s="176"/>
      <c r="D291" s="185"/>
      <c r="E291" s="179"/>
      <c r="F291" s="179"/>
      <c r="G291" s="185"/>
      <c r="H291" s="302"/>
      <c r="I291" s="176"/>
      <c r="J291" s="302"/>
    </row>
    <row r="292" spans="1:10" x14ac:dyDescent="0.25">
      <c r="A292" s="185"/>
      <c r="B292" s="176"/>
      <c r="C292" s="176"/>
      <c r="D292" s="185"/>
      <c r="E292" s="179"/>
      <c r="F292" s="179"/>
      <c r="G292" s="185"/>
      <c r="H292" s="302"/>
      <c r="I292" s="176"/>
      <c r="J292" s="302"/>
    </row>
    <row r="293" spans="1:10" x14ac:dyDescent="0.25">
      <c r="A293" s="185"/>
      <c r="B293" s="176"/>
      <c r="C293" s="176"/>
      <c r="D293" s="185"/>
      <c r="E293" s="179"/>
      <c r="F293" s="179"/>
      <c r="G293" s="185"/>
      <c r="H293" s="302"/>
      <c r="I293" s="176"/>
      <c r="J293" s="302"/>
    </row>
    <row r="294" spans="1:10" x14ac:dyDescent="0.25">
      <c r="A294" s="185"/>
      <c r="B294" s="176"/>
      <c r="C294" s="176"/>
      <c r="D294" s="185"/>
      <c r="E294" s="179"/>
      <c r="F294" s="179"/>
      <c r="G294" s="185"/>
      <c r="H294" s="302"/>
      <c r="I294" s="176"/>
      <c r="J294" s="302"/>
    </row>
    <row r="295" spans="1:10" x14ac:dyDescent="0.25">
      <c r="A295" s="185"/>
      <c r="B295" s="176"/>
      <c r="C295" s="176"/>
      <c r="D295" s="185"/>
      <c r="E295" s="179"/>
      <c r="F295" s="179"/>
      <c r="G295" s="185"/>
      <c r="H295" s="302"/>
      <c r="I295" s="176"/>
      <c r="J295" s="302"/>
    </row>
    <row r="296" spans="1:10" x14ac:dyDescent="0.25">
      <c r="A296" s="185"/>
      <c r="B296" s="176"/>
      <c r="C296" s="176"/>
      <c r="D296" s="185"/>
      <c r="E296" s="179"/>
      <c r="F296" s="179"/>
      <c r="G296" s="185"/>
      <c r="H296" s="302"/>
      <c r="I296" s="176"/>
      <c r="J296" s="302"/>
    </row>
    <row r="297" spans="1:10" x14ac:dyDescent="0.25">
      <c r="A297" s="185"/>
      <c r="B297" s="176"/>
      <c r="C297" s="176"/>
      <c r="D297" s="185"/>
      <c r="E297" s="179"/>
      <c r="F297" s="179"/>
      <c r="G297" s="185"/>
      <c r="H297" s="302"/>
      <c r="I297" s="176"/>
      <c r="J297" s="302"/>
    </row>
    <row r="298" spans="1:10" x14ac:dyDescent="0.25">
      <c r="A298" s="185"/>
      <c r="B298" s="176"/>
      <c r="C298" s="176"/>
      <c r="D298" s="185"/>
      <c r="E298" s="179"/>
      <c r="F298" s="179"/>
      <c r="G298" s="185"/>
      <c r="H298" s="302"/>
      <c r="I298" s="176"/>
      <c r="J298" s="302"/>
    </row>
    <row r="299" spans="1:10" x14ac:dyDescent="0.25">
      <c r="A299" s="185"/>
      <c r="B299" s="176"/>
      <c r="C299" s="176"/>
      <c r="D299" s="185"/>
      <c r="E299" s="179"/>
      <c r="F299" s="179"/>
      <c r="G299" s="185"/>
      <c r="H299" s="302"/>
      <c r="I299" s="176"/>
      <c r="J299" s="302"/>
    </row>
    <row r="300" spans="1:10" x14ac:dyDescent="0.25">
      <c r="A300" s="185"/>
      <c r="B300" s="176"/>
      <c r="C300" s="176"/>
      <c r="D300" s="185"/>
      <c r="E300" s="179"/>
      <c r="F300" s="179"/>
      <c r="G300" s="185"/>
      <c r="H300" s="302"/>
      <c r="I300" s="176"/>
      <c r="J300" s="302"/>
    </row>
    <row r="301" spans="1:10" x14ac:dyDescent="0.25">
      <c r="A301" s="185"/>
      <c r="B301" s="176"/>
      <c r="C301" s="176"/>
      <c r="D301" s="185"/>
      <c r="E301" s="179"/>
      <c r="F301" s="179"/>
      <c r="G301" s="185"/>
      <c r="H301" s="302"/>
      <c r="I301" s="176"/>
      <c r="J301" s="302"/>
    </row>
    <row r="302" spans="1:10" x14ac:dyDescent="0.25">
      <c r="A302" s="185"/>
      <c r="B302" s="176"/>
      <c r="C302" s="176"/>
      <c r="D302" s="185"/>
      <c r="E302" s="179"/>
      <c r="F302" s="179"/>
      <c r="G302" s="185"/>
      <c r="H302" s="302"/>
      <c r="I302" s="176"/>
      <c r="J302" s="302"/>
    </row>
    <row r="303" spans="1:10" x14ac:dyDescent="0.25">
      <c r="A303" s="185"/>
      <c r="B303" s="176"/>
      <c r="C303" s="176"/>
      <c r="D303" s="185"/>
      <c r="E303" s="179"/>
      <c r="F303" s="179"/>
      <c r="G303" s="185"/>
      <c r="H303" s="302"/>
      <c r="I303" s="176"/>
      <c r="J303" s="302"/>
    </row>
    <row r="304" spans="1:10" x14ac:dyDescent="0.25">
      <c r="A304" s="185"/>
      <c r="B304" s="176"/>
      <c r="C304" s="176"/>
      <c r="D304" s="185"/>
      <c r="E304" s="179"/>
      <c r="F304" s="179"/>
      <c r="G304" s="185"/>
      <c r="H304" s="302"/>
      <c r="I304" s="176"/>
      <c r="J304" s="302"/>
    </row>
    <row r="305" spans="1:10" x14ac:dyDescent="0.25">
      <c r="A305" s="185"/>
      <c r="B305" s="176"/>
      <c r="C305" s="176"/>
      <c r="D305" s="185"/>
      <c r="E305" s="179"/>
      <c r="F305" s="179"/>
      <c r="G305" s="185"/>
      <c r="H305" s="302"/>
      <c r="I305" s="176"/>
      <c r="J305" s="302"/>
    </row>
    <row r="306" spans="1:10" x14ac:dyDescent="0.25">
      <c r="A306" s="185"/>
      <c r="B306" s="176"/>
      <c r="C306" s="176"/>
      <c r="D306" s="185"/>
      <c r="E306" s="179"/>
      <c r="F306" s="179"/>
      <c r="G306" s="185"/>
      <c r="H306" s="302"/>
      <c r="I306" s="176"/>
      <c r="J306" s="302"/>
    </row>
    <row r="307" spans="1:10" x14ac:dyDescent="0.25">
      <c r="A307" s="185"/>
      <c r="B307" s="176"/>
      <c r="C307" s="176"/>
      <c r="D307" s="185"/>
      <c r="E307" s="179"/>
      <c r="F307" s="179"/>
      <c r="G307" s="185"/>
      <c r="H307" s="302"/>
      <c r="I307" s="176"/>
      <c r="J307" s="302"/>
    </row>
    <row r="308" spans="1:10" x14ac:dyDescent="0.25">
      <c r="A308" s="185"/>
      <c r="B308" s="176"/>
      <c r="C308" s="176"/>
      <c r="D308" s="185"/>
      <c r="E308" s="179"/>
      <c r="F308" s="179"/>
      <c r="G308" s="185"/>
      <c r="H308" s="302"/>
      <c r="I308" s="176"/>
      <c r="J308" s="302"/>
    </row>
    <row r="309" spans="1:10" x14ac:dyDescent="0.25">
      <c r="A309" s="185"/>
      <c r="B309" s="176"/>
      <c r="C309" s="176"/>
      <c r="D309" s="185"/>
      <c r="E309" s="179"/>
      <c r="F309" s="179"/>
      <c r="G309" s="185"/>
      <c r="H309" s="302"/>
      <c r="I309" s="176"/>
      <c r="J309" s="302"/>
    </row>
    <row r="310" spans="1:10" x14ac:dyDescent="0.25">
      <c r="A310" s="185"/>
      <c r="B310" s="176"/>
      <c r="C310" s="176"/>
      <c r="D310" s="185"/>
      <c r="E310" s="179"/>
      <c r="F310" s="179"/>
      <c r="G310" s="185"/>
      <c r="H310" s="302"/>
      <c r="I310" s="176"/>
      <c r="J310" s="302"/>
    </row>
    <row r="311" spans="1:10" x14ac:dyDescent="0.25">
      <c r="A311" s="185"/>
      <c r="B311" s="176"/>
      <c r="C311" s="176"/>
      <c r="D311" s="185"/>
      <c r="E311" s="179"/>
      <c r="F311" s="179"/>
      <c r="G311" s="185"/>
      <c r="H311" s="302"/>
      <c r="I311" s="176"/>
      <c r="J311" s="302"/>
    </row>
    <row r="312" spans="1:10" x14ac:dyDescent="0.25">
      <c r="A312" s="185"/>
      <c r="B312" s="176"/>
      <c r="C312" s="176"/>
      <c r="D312" s="185"/>
      <c r="E312" s="179"/>
      <c r="F312" s="179"/>
      <c r="G312" s="185"/>
      <c r="H312" s="302"/>
      <c r="I312" s="176"/>
      <c r="J312" s="302"/>
    </row>
    <row r="313" spans="1:10" x14ac:dyDescent="0.25">
      <c r="A313" s="185"/>
      <c r="B313" s="176"/>
      <c r="C313" s="176"/>
      <c r="D313" s="185"/>
      <c r="E313" s="179"/>
      <c r="F313" s="179"/>
      <c r="G313" s="185"/>
      <c r="H313" s="302"/>
      <c r="I313" s="176"/>
      <c r="J313" s="302"/>
    </row>
    <row r="314" spans="1:10" x14ac:dyDescent="0.25">
      <c r="A314" s="185"/>
      <c r="B314" s="176"/>
      <c r="C314" s="176"/>
      <c r="D314" s="185"/>
      <c r="E314" s="179"/>
      <c r="F314" s="179"/>
      <c r="G314" s="185"/>
      <c r="H314" s="302"/>
      <c r="I314" s="176"/>
      <c r="J314" s="302"/>
    </row>
    <row r="315" spans="1:10" x14ac:dyDescent="0.25">
      <c r="A315" s="185"/>
      <c r="B315" s="176"/>
      <c r="C315" s="176"/>
      <c r="D315" s="185"/>
      <c r="E315" s="179"/>
      <c r="F315" s="179"/>
      <c r="G315" s="185"/>
      <c r="H315" s="302"/>
      <c r="I315" s="176"/>
      <c r="J315" s="302"/>
    </row>
    <row r="316" spans="1:10" x14ac:dyDescent="0.25">
      <c r="A316" s="185"/>
      <c r="B316" s="176"/>
      <c r="C316" s="176"/>
      <c r="D316" s="185"/>
      <c r="E316" s="179"/>
      <c r="F316" s="179"/>
      <c r="G316" s="185"/>
      <c r="H316" s="302"/>
      <c r="I316" s="176"/>
      <c r="J316" s="302"/>
    </row>
    <row r="317" spans="1:10" x14ac:dyDescent="0.25">
      <c r="A317" s="185"/>
      <c r="B317" s="176"/>
      <c r="C317" s="176"/>
      <c r="D317" s="185"/>
      <c r="E317" s="179"/>
      <c r="F317" s="179"/>
      <c r="G317" s="185"/>
      <c r="H317" s="302"/>
      <c r="I317" s="176"/>
      <c r="J317" s="302"/>
    </row>
    <row r="318" spans="1:10" x14ac:dyDescent="0.25">
      <c r="A318" s="185"/>
      <c r="B318" s="176"/>
      <c r="C318" s="176"/>
      <c r="D318" s="185"/>
      <c r="E318" s="179"/>
      <c r="F318" s="179"/>
      <c r="G318" s="185"/>
      <c r="H318" s="302"/>
      <c r="I318" s="176"/>
      <c r="J318" s="302"/>
    </row>
    <row r="319" spans="1:10" x14ac:dyDescent="0.25">
      <c r="A319" s="185"/>
      <c r="B319" s="176"/>
      <c r="C319" s="176"/>
      <c r="D319" s="185"/>
      <c r="E319" s="179"/>
      <c r="F319" s="179"/>
      <c r="G319" s="185"/>
      <c r="H319" s="302"/>
      <c r="I319" s="176"/>
      <c r="J319" s="302"/>
    </row>
    <row r="320" spans="1:10" x14ac:dyDescent="0.25">
      <c r="A320" s="185"/>
      <c r="B320" s="176"/>
      <c r="C320" s="176"/>
      <c r="D320" s="185"/>
      <c r="E320" s="179"/>
      <c r="F320" s="179"/>
      <c r="G320" s="185"/>
      <c r="H320" s="302"/>
      <c r="I320" s="176"/>
      <c r="J320" s="302"/>
    </row>
    <row r="321" spans="1:10" x14ac:dyDescent="0.25">
      <c r="A321" s="185"/>
      <c r="B321" s="176"/>
      <c r="C321" s="176"/>
      <c r="D321" s="185"/>
      <c r="E321" s="179"/>
      <c r="F321" s="179"/>
      <c r="G321" s="185"/>
      <c r="H321" s="302"/>
      <c r="I321" s="176"/>
      <c r="J321" s="302"/>
    </row>
    <row r="322" spans="1:10" x14ac:dyDescent="0.25">
      <c r="A322" s="185"/>
      <c r="B322" s="176"/>
      <c r="C322" s="176"/>
      <c r="D322" s="185"/>
      <c r="E322" s="179"/>
      <c r="F322" s="179"/>
      <c r="G322" s="185"/>
      <c r="H322" s="302"/>
      <c r="I322" s="176"/>
      <c r="J322" s="302"/>
    </row>
    <row r="323" spans="1:10" x14ac:dyDescent="0.25">
      <c r="A323" s="185"/>
      <c r="B323" s="176"/>
      <c r="C323" s="176"/>
      <c r="D323" s="185"/>
      <c r="E323" s="179"/>
      <c r="F323" s="179"/>
      <c r="G323" s="185"/>
      <c r="H323" s="302"/>
      <c r="I323" s="176"/>
      <c r="J323" s="302"/>
    </row>
    <row r="324" spans="1:10" x14ac:dyDescent="0.25">
      <c r="A324" s="185"/>
      <c r="B324" s="176"/>
      <c r="C324" s="176"/>
      <c r="D324" s="185"/>
      <c r="E324" s="179"/>
      <c r="F324" s="179"/>
      <c r="G324" s="185"/>
      <c r="H324" s="302"/>
      <c r="I324" s="176"/>
      <c r="J324" s="302"/>
    </row>
    <row r="325" spans="1:10" x14ac:dyDescent="0.25">
      <c r="A325" s="185"/>
      <c r="B325" s="176"/>
      <c r="C325" s="176"/>
      <c r="D325" s="185"/>
      <c r="E325" s="179"/>
      <c r="F325" s="179"/>
      <c r="G325" s="185"/>
      <c r="H325" s="302"/>
      <c r="I325" s="176"/>
      <c r="J325" s="302"/>
    </row>
    <row r="326" spans="1:10" x14ac:dyDescent="0.25">
      <c r="A326" s="185"/>
      <c r="B326" s="176"/>
      <c r="C326" s="176"/>
      <c r="D326" s="185"/>
      <c r="E326" s="179"/>
      <c r="F326" s="179"/>
      <c r="G326" s="185"/>
      <c r="H326" s="302"/>
      <c r="I326" s="176"/>
      <c r="J326" s="302"/>
    </row>
    <row r="327" spans="1:10" x14ac:dyDescent="0.25">
      <c r="A327" s="185"/>
      <c r="B327" s="176"/>
      <c r="C327" s="176"/>
      <c r="D327" s="185"/>
      <c r="E327" s="179"/>
      <c r="F327" s="179"/>
      <c r="G327" s="185"/>
      <c r="H327" s="302"/>
      <c r="I327" s="176"/>
      <c r="J327" s="302"/>
    </row>
    <row r="328" spans="1:10" x14ac:dyDescent="0.25">
      <c r="A328" s="185"/>
      <c r="B328" s="176"/>
      <c r="C328" s="176"/>
      <c r="D328" s="185"/>
      <c r="E328" s="179"/>
      <c r="F328" s="179"/>
      <c r="G328" s="185"/>
      <c r="H328" s="302"/>
      <c r="I328" s="176"/>
      <c r="J328" s="302"/>
    </row>
    <row r="329" spans="1:10" x14ac:dyDescent="0.25">
      <c r="A329" s="185"/>
      <c r="B329" s="176"/>
      <c r="C329" s="176"/>
      <c r="D329" s="185"/>
      <c r="E329" s="179"/>
      <c r="F329" s="179"/>
      <c r="G329" s="185"/>
      <c r="H329" s="302"/>
      <c r="I329" s="176"/>
      <c r="J329" s="302"/>
    </row>
    <row r="330" spans="1:10" x14ac:dyDescent="0.25">
      <c r="A330" s="185"/>
      <c r="B330" s="176"/>
      <c r="C330" s="176"/>
      <c r="D330" s="185"/>
      <c r="E330" s="179"/>
      <c r="F330" s="179"/>
      <c r="G330" s="185"/>
      <c r="H330" s="302"/>
      <c r="I330" s="176"/>
      <c r="J330" s="302"/>
    </row>
    <row r="331" spans="1:10" x14ac:dyDescent="0.25">
      <c r="A331" s="185"/>
      <c r="B331" s="176"/>
      <c r="C331" s="176"/>
      <c r="D331" s="185"/>
      <c r="E331" s="179"/>
      <c r="F331" s="179"/>
      <c r="G331" s="185"/>
      <c r="H331" s="302"/>
      <c r="I331" s="176"/>
      <c r="J331" s="302"/>
    </row>
    <row r="332" spans="1:10" x14ac:dyDescent="0.25">
      <c r="A332" s="185"/>
      <c r="B332" s="176"/>
      <c r="C332" s="176"/>
      <c r="D332" s="185"/>
      <c r="E332" s="179"/>
      <c r="F332" s="179"/>
      <c r="G332" s="185"/>
      <c r="H332" s="302"/>
      <c r="I332" s="176"/>
      <c r="J332" s="302"/>
    </row>
    <row r="333" spans="1:10" x14ac:dyDescent="0.25">
      <c r="A333" s="185"/>
      <c r="B333" s="176"/>
      <c r="C333" s="176"/>
      <c r="D333" s="185"/>
      <c r="E333" s="179"/>
      <c r="F333" s="179"/>
      <c r="G333" s="185"/>
      <c r="H333" s="302"/>
      <c r="I333" s="176"/>
      <c r="J333" s="302"/>
    </row>
    <row r="334" spans="1:10" x14ac:dyDescent="0.25">
      <c r="A334" s="185"/>
      <c r="B334" s="176"/>
      <c r="C334" s="176"/>
      <c r="D334" s="185"/>
      <c r="E334" s="179"/>
      <c r="F334" s="179"/>
      <c r="G334" s="185"/>
      <c r="H334" s="302"/>
      <c r="I334" s="176"/>
      <c r="J334" s="302"/>
    </row>
    <row r="335" spans="1:10" x14ac:dyDescent="0.25">
      <c r="A335" s="185"/>
      <c r="B335" s="176"/>
      <c r="C335" s="176"/>
      <c r="D335" s="185"/>
      <c r="E335" s="179"/>
      <c r="F335" s="179"/>
      <c r="G335" s="185"/>
      <c r="H335" s="302"/>
      <c r="I335" s="176"/>
      <c r="J335" s="302"/>
    </row>
    <row r="336" spans="1:10" x14ac:dyDescent="0.25">
      <c r="A336" s="185"/>
      <c r="B336" s="176"/>
      <c r="C336" s="176"/>
      <c r="D336" s="185"/>
      <c r="E336" s="179"/>
      <c r="F336" s="179"/>
      <c r="G336" s="185"/>
      <c r="H336" s="302"/>
      <c r="I336" s="176"/>
      <c r="J336" s="302"/>
    </row>
    <row r="337" spans="1:10" x14ac:dyDescent="0.25">
      <c r="A337" s="185"/>
      <c r="B337" s="176"/>
      <c r="C337" s="176"/>
      <c r="D337" s="185"/>
      <c r="E337" s="179"/>
      <c r="F337" s="179"/>
      <c r="G337" s="185"/>
      <c r="H337" s="302"/>
      <c r="I337" s="176"/>
      <c r="J337" s="302"/>
    </row>
    <row r="338" spans="1:10" x14ac:dyDescent="0.25">
      <c r="A338" s="185"/>
      <c r="B338" s="176"/>
      <c r="C338" s="176"/>
      <c r="D338" s="185"/>
      <c r="E338" s="179"/>
      <c r="F338" s="179"/>
      <c r="G338" s="185"/>
      <c r="H338" s="302"/>
      <c r="I338" s="176"/>
      <c r="J338" s="302"/>
    </row>
    <row r="339" spans="1:10" x14ac:dyDescent="0.25">
      <c r="A339" s="185"/>
      <c r="B339" s="176"/>
      <c r="C339" s="176"/>
      <c r="D339" s="185"/>
      <c r="E339" s="179"/>
      <c r="F339" s="179"/>
      <c r="G339" s="185"/>
      <c r="H339" s="302"/>
      <c r="I339" s="176"/>
      <c r="J339" s="302"/>
    </row>
    <row r="340" spans="1:10" x14ac:dyDescent="0.25">
      <c r="A340" s="185"/>
      <c r="B340" s="176"/>
      <c r="C340" s="176"/>
      <c r="D340" s="185"/>
      <c r="E340" s="179"/>
      <c r="F340" s="179"/>
      <c r="G340" s="185"/>
      <c r="H340" s="302"/>
      <c r="I340" s="176"/>
      <c r="J340" s="302"/>
    </row>
    <row r="341" spans="1:10" x14ac:dyDescent="0.25">
      <c r="A341" s="185"/>
      <c r="B341" s="176"/>
      <c r="C341" s="176"/>
      <c r="D341" s="185"/>
      <c r="E341" s="179"/>
      <c r="F341" s="179"/>
      <c r="G341" s="185"/>
      <c r="H341" s="302"/>
      <c r="I341" s="176"/>
      <c r="J341" s="302"/>
    </row>
    <row r="342" spans="1:10" x14ac:dyDescent="0.25">
      <c r="A342" s="185"/>
      <c r="B342" s="176"/>
      <c r="C342" s="176"/>
      <c r="D342" s="185"/>
      <c r="E342" s="179"/>
      <c r="F342" s="179"/>
      <c r="G342" s="185"/>
      <c r="H342" s="302"/>
      <c r="I342" s="176"/>
      <c r="J342" s="302"/>
    </row>
    <row r="343" spans="1:10" x14ac:dyDescent="0.25">
      <c r="A343" s="185"/>
      <c r="B343" s="176"/>
      <c r="C343" s="176"/>
      <c r="D343" s="185"/>
      <c r="E343" s="179"/>
      <c r="F343" s="179"/>
      <c r="G343" s="185"/>
      <c r="H343" s="302"/>
      <c r="I343" s="176"/>
      <c r="J343" s="302"/>
    </row>
    <row r="344" spans="1:10" x14ac:dyDescent="0.25">
      <c r="A344" s="185"/>
      <c r="B344" s="176"/>
      <c r="C344" s="176"/>
      <c r="D344" s="185"/>
      <c r="E344" s="179"/>
      <c r="F344" s="179"/>
      <c r="G344" s="185"/>
      <c r="H344" s="302"/>
      <c r="I344" s="176"/>
      <c r="J344" s="302"/>
    </row>
    <row r="345" spans="1:10" x14ac:dyDescent="0.25">
      <c r="A345" s="185"/>
      <c r="B345" s="176"/>
      <c r="C345" s="176"/>
      <c r="D345" s="185"/>
      <c r="E345" s="179"/>
      <c r="F345" s="179"/>
      <c r="G345" s="185"/>
      <c r="H345" s="302"/>
      <c r="I345" s="176"/>
      <c r="J345" s="302"/>
    </row>
    <row r="346" spans="1:10" x14ac:dyDescent="0.25">
      <c r="A346" s="185"/>
      <c r="B346" s="176"/>
      <c r="C346" s="176"/>
      <c r="D346" s="185"/>
      <c r="E346" s="179"/>
      <c r="F346" s="179"/>
      <c r="G346" s="185"/>
      <c r="H346" s="302"/>
      <c r="I346" s="176"/>
      <c r="J346" s="302"/>
    </row>
    <row r="347" spans="1:10" x14ac:dyDescent="0.25">
      <c r="A347" s="185"/>
      <c r="B347" s="176"/>
      <c r="C347" s="176"/>
      <c r="D347" s="185"/>
      <c r="E347" s="179"/>
      <c r="F347" s="179"/>
      <c r="G347" s="185"/>
      <c r="H347" s="302"/>
      <c r="I347" s="176"/>
      <c r="J347" s="302"/>
    </row>
    <row r="348" spans="1:10" x14ac:dyDescent="0.25">
      <c r="A348" s="185"/>
      <c r="B348" s="176"/>
      <c r="C348" s="176"/>
      <c r="D348" s="185"/>
      <c r="E348" s="179"/>
      <c r="F348" s="179"/>
      <c r="G348" s="185"/>
      <c r="H348" s="302"/>
      <c r="I348" s="176"/>
      <c r="J348" s="302"/>
    </row>
    <row r="349" spans="1:10" x14ac:dyDescent="0.25">
      <c r="A349" s="185"/>
      <c r="B349" s="176"/>
      <c r="C349" s="176"/>
      <c r="D349" s="185"/>
      <c r="E349" s="179"/>
      <c r="F349" s="179"/>
      <c r="G349" s="185"/>
      <c r="H349" s="302"/>
      <c r="I349" s="176"/>
      <c r="J349" s="302"/>
    </row>
    <row r="350" spans="1:10" x14ac:dyDescent="0.25">
      <c r="A350" s="185"/>
      <c r="B350" s="176"/>
      <c r="C350" s="176"/>
      <c r="D350" s="185"/>
      <c r="E350" s="179"/>
      <c r="F350" s="179"/>
      <c r="G350" s="185"/>
      <c r="H350" s="302"/>
      <c r="I350" s="176"/>
      <c r="J350" s="302"/>
    </row>
    <row r="351" spans="1:10" x14ac:dyDescent="0.25">
      <c r="A351" s="185"/>
      <c r="B351" s="176"/>
      <c r="C351" s="176"/>
      <c r="D351" s="185"/>
      <c r="E351" s="179"/>
      <c r="F351" s="179"/>
      <c r="G351" s="185"/>
      <c r="H351" s="302"/>
      <c r="I351" s="176"/>
      <c r="J351" s="302"/>
    </row>
    <row r="352" spans="1:10" x14ac:dyDescent="0.25">
      <c r="A352" s="185"/>
      <c r="B352" s="176"/>
      <c r="C352" s="176"/>
      <c r="D352" s="185"/>
      <c r="E352" s="179"/>
      <c r="F352" s="179"/>
      <c r="G352" s="185"/>
      <c r="H352" s="302"/>
      <c r="I352" s="176"/>
      <c r="J352" s="302"/>
    </row>
    <row r="353" spans="1:10" x14ac:dyDescent="0.25">
      <c r="A353" s="185"/>
      <c r="B353" s="176"/>
      <c r="C353" s="176"/>
      <c r="D353" s="185"/>
      <c r="E353" s="179"/>
      <c r="F353" s="179"/>
      <c r="G353" s="185"/>
      <c r="H353" s="302"/>
      <c r="I353" s="176"/>
      <c r="J353" s="302"/>
    </row>
    <row r="354" spans="1:10" x14ac:dyDescent="0.25">
      <c r="A354" s="185"/>
      <c r="B354" s="176"/>
      <c r="C354" s="176"/>
      <c r="D354" s="185"/>
      <c r="E354" s="179"/>
      <c r="F354" s="179"/>
      <c r="G354" s="185"/>
      <c r="H354" s="302"/>
      <c r="I354" s="176"/>
      <c r="J354" s="302"/>
    </row>
    <row r="355" spans="1:10" x14ac:dyDescent="0.25">
      <c r="A355" s="185"/>
      <c r="B355" s="176"/>
      <c r="C355" s="176"/>
      <c r="D355" s="185"/>
      <c r="E355" s="179"/>
      <c r="F355" s="179"/>
      <c r="G355" s="185"/>
      <c r="H355" s="302"/>
      <c r="I355" s="176"/>
      <c r="J355" s="302"/>
    </row>
    <row r="356" spans="1:10" x14ac:dyDescent="0.25">
      <c r="A356" s="185"/>
      <c r="B356" s="176"/>
      <c r="C356" s="176"/>
      <c r="D356" s="185"/>
      <c r="E356" s="179"/>
      <c r="F356" s="179"/>
      <c r="G356" s="185"/>
      <c r="H356" s="302"/>
      <c r="I356" s="176"/>
      <c r="J356" s="302"/>
    </row>
    <row r="357" spans="1:10" x14ac:dyDescent="0.25">
      <c r="A357" s="185"/>
      <c r="B357" s="176"/>
      <c r="C357" s="176"/>
      <c r="D357" s="185"/>
      <c r="E357" s="179"/>
      <c r="F357" s="179"/>
      <c r="G357" s="185"/>
      <c r="H357" s="302"/>
      <c r="I357" s="176"/>
      <c r="J357" s="302"/>
    </row>
    <row r="358" spans="1:10" x14ac:dyDescent="0.25">
      <c r="A358" s="185"/>
      <c r="B358" s="176"/>
      <c r="C358" s="176"/>
      <c r="D358" s="185"/>
      <c r="E358" s="179"/>
      <c r="F358" s="179"/>
      <c r="G358" s="185"/>
      <c r="H358" s="302"/>
      <c r="I358" s="176"/>
      <c r="J358" s="302"/>
    </row>
    <row r="359" spans="1:10" x14ac:dyDescent="0.25">
      <c r="A359" s="185"/>
      <c r="B359" s="176"/>
      <c r="C359" s="176"/>
      <c r="D359" s="185"/>
      <c r="E359" s="179"/>
      <c r="F359" s="179"/>
      <c r="G359" s="185"/>
      <c r="H359" s="302"/>
      <c r="I359" s="176"/>
      <c r="J359" s="302"/>
    </row>
    <row r="360" spans="1:10" x14ac:dyDescent="0.25">
      <c r="A360" s="185"/>
      <c r="B360" s="176"/>
      <c r="C360" s="176"/>
      <c r="D360" s="185"/>
      <c r="E360" s="179"/>
      <c r="F360" s="179"/>
      <c r="G360" s="185"/>
      <c r="H360" s="302"/>
      <c r="I360" s="176"/>
      <c r="J360" s="302"/>
    </row>
    <row r="361" spans="1:10" x14ac:dyDescent="0.25">
      <c r="A361" s="185"/>
      <c r="B361" s="176"/>
      <c r="C361" s="176"/>
      <c r="D361" s="185"/>
      <c r="E361" s="179"/>
      <c r="F361" s="179"/>
      <c r="G361" s="185"/>
      <c r="H361" s="302"/>
      <c r="I361" s="176"/>
      <c r="J361" s="302"/>
    </row>
    <row r="362" spans="1:10" x14ac:dyDescent="0.25">
      <c r="A362" s="185"/>
      <c r="B362" s="176"/>
      <c r="C362" s="176"/>
      <c r="D362" s="185"/>
      <c r="E362" s="179"/>
      <c r="F362" s="179"/>
      <c r="G362" s="185"/>
      <c r="H362" s="302"/>
      <c r="I362" s="176"/>
      <c r="J362" s="302"/>
    </row>
    <row r="363" spans="1:10" x14ac:dyDescent="0.25">
      <c r="A363" s="185"/>
      <c r="B363" s="176"/>
      <c r="C363" s="176"/>
      <c r="D363" s="185"/>
      <c r="E363" s="179"/>
      <c r="F363" s="179"/>
      <c r="G363" s="185"/>
      <c r="H363" s="302"/>
      <c r="I363" s="176"/>
      <c r="J363" s="302"/>
    </row>
    <row r="364" spans="1:10" x14ac:dyDescent="0.25">
      <c r="A364" s="185"/>
      <c r="B364" s="176"/>
      <c r="C364" s="176"/>
      <c r="D364" s="185"/>
      <c r="E364" s="179"/>
      <c r="F364" s="179"/>
      <c r="G364" s="185"/>
      <c r="H364" s="302"/>
      <c r="I364" s="176"/>
      <c r="J364" s="302"/>
    </row>
    <row r="365" spans="1:10" x14ac:dyDescent="0.25">
      <c r="A365" s="185"/>
      <c r="B365" s="176"/>
      <c r="C365" s="176"/>
      <c r="D365" s="185"/>
      <c r="E365" s="179"/>
      <c r="F365" s="179"/>
      <c r="G365" s="185"/>
      <c r="H365" s="302"/>
      <c r="I365" s="176"/>
      <c r="J365" s="302"/>
    </row>
    <row r="366" spans="1:10" x14ac:dyDescent="0.25">
      <c r="A366" s="185"/>
      <c r="B366" s="176"/>
      <c r="C366" s="176"/>
      <c r="D366" s="185"/>
      <c r="E366" s="179"/>
      <c r="F366" s="179"/>
      <c r="G366" s="185"/>
      <c r="H366" s="302"/>
      <c r="I366" s="176"/>
      <c r="J366" s="302"/>
    </row>
    <row r="367" spans="1:10" x14ac:dyDescent="0.25">
      <c r="A367" s="185"/>
      <c r="B367" s="176"/>
      <c r="C367" s="176"/>
      <c r="D367" s="185"/>
      <c r="E367" s="179"/>
      <c r="F367" s="179"/>
      <c r="G367" s="185"/>
      <c r="H367" s="302"/>
      <c r="I367" s="176"/>
      <c r="J367" s="302"/>
    </row>
    <row r="368" spans="1:10" x14ac:dyDescent="0.25">
      <c r="A368" s="185"/>
      <c r="B368" s="176"/>
      <c r="C368" s="176"/>
      <c r="D368" s="185"/>
      <c r="E368" s="179"/>
      <c r="F368" s="179"/>
      <c r="G368" s="185"/>
      <c r="H368" s="302"/>
      <c r="I368" s="176"/>
      <c r="J368" s="302"/>
    </row>
    <row r="369" spans="1:10" x14ac:dyDescent="0.25">
      <c r="A369" s="185"/>
      <c r="B369" s="176"/>
      <c r="C369" s="176"/>
      <c r="D369" s="185"/>
      <c r="E369" s="179"/>
      <c r="F369" s="179"/>
      <c r="G369" s="185"/>
      <c r="H369" s="302"/>
      <c r="I369" s="176"/>
      <c r="J369" s="302"/>
    </row>
    <row r="370" spans="1:10" x14ac:dyDescent="0.25">
      <c r="A370" s="185"/>
      <c r="B370" s="176"/>
      <c r="C370" s="176"/>
      <c r="D370" s="185"/>
      <c r="E370" s="179"/>
      <c r="F370" s="179"/>
      <c r="G370" s="185"/>
      <c r="H370" s="302"/>
      <c r="I370" s="176"/>
      <c r="J370" s="302"/>
    </row>
    <row r="371" spans="1:10" x14ac:dyDescent="0.25">
      <c r="A371" s="185"/>
      <c r="B371" s="176"/>
      <c r="C371" s="176"/>
      <c r="D371" s="185"/>
      <c r="E371" s="179"/>
      <c r="F371" s="179"/>
      <c r="G371" s="185"/>
      <c r="H371" s="302"/>
      <c r="I371" s="176"/>
      <c r="J371" s="302"/>
    </row>
    <row r="372" spans="1:10" x14ac:dyDescent="0.25">
      <c r="A372" s="185"/>
      <c r="B372" s="176"/>
      <c r="C372" s="176"/>
      <c r="D372" s="185"/>
      <c r="E372" s="179"/>
      <c r="F372" s="179"/>
      <c r="G372" s="185"/>
      <c r="H372" s="302"/>
      <c r="I372" s="176"/>
      <c r="J372" s="302"/>
    </row>
    <row r="373" spans="1:10" x14ac:dyDescent="0.25">
      <c r="A373" s="185"/>
      <c r="B373" s="176"/>
      <c r="C373" s="176"/>
      <c r="D373" s="185"/>
      <c r="E373" s="179"/>
      <c r="F373" s="179"/>
      <c r="G373" s="185"/>
      <c r="H373" s="302"/>
      <c r="I373" s="176"/>
      <c r="J373" s="302"/>
    </row>
    <row r="374" spans="1:10" x14ac:dyDescent="0.25">
      <c r="A374" s="185"/>
      <c r="B374" s="176"/>
      <c r="C374" s="176"/>
      <c r="D374" s="185"/>
      <c r="E374" s="179"/>
      <c r="F374" s="179"/>
      <c r="G374" s="185"/>
      <c r="H374" s="302"/>
      <c r="I374" s="176"/>
      <c r="J374" s="302"/>
    </row>
    <row r="375" spans="1:10" x14ac:dyDescent="0.25">
      <c r="A375" s="185"/>
      <c r="B375" s="176"/>
      <c r="C375" s="176"/>
      <c r="D375" s="185"/>
      <c r="E375" s="179"/>
      <c r="F375" s="179"/>
      <c r="G375" s="185"/>
      <c r="H375" s="302"/>
      <c r="I375" s="176"/>
      <c r="J375" s="302"/>
    </row>
    <row r="376" spans="1:10" x14ac:dyDescent="0.25">
      <c r="A376" s="185"/>
      <c r="B376" s="176"/>
      <c r="C376" s="176"/>
      <c r="D376" s="185"/>
      <c r="E376" s="179"/>
      <c r="F376" s="179"/>
      <c r="G376" s="185"/>
      <c r="H376" s="302"/>
      <c r="I376" s="176"/>
      <c r="J376" s="302"/>
    </row>
    <row r="377" spans="1:10" x14ac:dyDescent="0.25">
      <c r="A377" s="185"/>
      <c r="B377" s="176"/>
      <c r="C377" s="176"/>
      <c r="D377" s="185"/>
      <c r="E377" s="179"/>
      <c r="F377" s="179"/>
      <c r="G377" s="185"/>
      <c r="H377" s="302"/>
      <c r="I377" s="176"/>
      <c r="J377" s="302"/>
    </row>
    <row r="378" spans="1:10" x14ac:dyDescent="0.25">
      <c r="A378" s="185"/>
      <c r="B378" s="176"/>
      <c r="C378" s="176"/>
      <c r="D378" s="185"/>
      <c r="E378" s="179"/>
      <c r="F378" s="179"/>
      <c r="G378" s="185"/>
      <c r="H378" s="302"/>
      <c r="I378" s="176"/>
      <c r="J378" s="302"/>
    </row>
    <row r="379" spans="1:10" x14ac:dyDescent="0.25">
      <c r="A379" s="185"/>
      <c r="B379" s="176"/>
      <c r="C379" s="176"/>
      <c r="D379" s="185"/>
      <c r="E379" s="179"/>
      <c r="F379" s="179"/>
      <c r="G379" s="185"/>
      <c r="H379" s="302"/>
      <c r="I379" s="176"/>
      <c r="J379" s="302"/>
    </row>
    <row r="380" spans="1:10" x14ac:dyDescent="0.25">
      <c r="A380" s="185"/>
      <c r="B380" s="176"/>
      <c r="C380" s="176"/>
      <c r="D380" s="185"/>
      <c r="E380" s="179"/>
      <c r="F380" s="179"/>
      <c r="G380" s="185"/>
      <c r="H380" s="302"/>
      <c r="I380" s="176"/>
      <c r="J380" s="302"/>
    </row>
    <row r="381" spans="1:10" x14ac:dyDescent="0.25">
      <c r="A381" s="185"/>
      <c r="B381" s="176"/>
      <c r="C381" s="176"/>
      <c r="D381" s="185"/>
      <c r="E381" s="179"/>
      <c r="F381" s="179"/>
      <c r="G381" s="185"/>
      <c r="H381" s="302"/>
      <c r="I381" s="176"/>
      <c r="J381" s="302"/>
    </row>
    <row r="382" spans="1:10" x14ac:dyDescent="0.25">
      <c r="A382" s="185"/>
      <c r="B382" s="176"/>
      <c r="C382" s="176"/>
      <c r="D382" s="185"/>
      <c r="E382" s="179"/>
      <c r="F382" s="179"/>
      <c r="G382" s="185"/>
      <c r="H382" s="302"/>
      <c r="I382" s="176"/>
      <c r="J382" s="302"/>
    </row>
    <row r="383" spans="1:10" x14ac:dyDescent="0.25">
      <c r="A383" s="185"/>
      <c r="B383" s="176"/>
      <c r="C383" s="176"/>
      <c r="D383" s="185"/>
      <c r="E383" s="179"/>
      <c r="F383" s="179"/>
      <c r="G383" s="185"/>
      <c r="H383" s="302"/>
      <c r="I383" s="176"/>
      <c r="J383" s="302"/>
    </row>
    <row r="384" spans="1:10" x14ac:dyDescent="0.25">
      <c r="A384" s="185"/>
      <c r="B384" s="176"/>
      <c r="C384" s="176"/>
      <c r="D384" s="185"/>
      <c r="E384" s="179"/>
      <c r="F384" s="179"/>
      <c r="G384" s="185"/>
      <c r="H384" s="302"/>
      <c r="I384" s="176"/>
      <c r="J384" s="302"/>
    </row>
    <row r="385" spans="1:10" x14ac:dyDescent="0.25">
      <c r="A385" s="185"/>
      <c r="B385" s="176"/>
      <c r="C385" s="176"/>
      <c r="D385" s="185"/>
      <c r="E385" s="179"/>
      <c r="F385" s="179"/>
      <c r="G385" s="185"/>
      <c r="H385" s="302"/>
      <c r="I385" s="176"/>
      <c r="J385" s="302"/>
    </row>
    <row r="386" spans="1:10" x14ac:dyDescent="0.25">
      <c r="A386" s="185"/>
      <c r="B386" s="176"/>
      <c r="C386" s="176"/>
      <c r="D386" s="185"/>
      <c r="E386" s="179"/>
      <c r="F386" s="179"/>
      <c r="G386" s="185"/>
      <c r="H386" s="302"/>
      <c r="I386" s="176"/>
      <c r="J386" s="302"/>
    </row>
    <row r="387" spans="1:10" x14ac:dyDescent="0.25">
      <c r="A387" s="185"/>
      <c r="B387" s="176"/>
      <c r="C387" s="176"/>
      <c r="D387" s="185"/>
      <c r="E387" s="179"/>
      <c r="F387" s="179"/>
      <c r="G387" s="185"/>
      <c r="H387" s="302"/>
      <c r="I387" s="176"/>
      <c r="J387" s="302"/>
    </row>
    <row r="388" spans="1:10" x14ac:dyDescent="0.25">
      <c r="A388" s="185"/>
      <c r="B388" s="176"/>
      <c r="C388" s="176"/>
      <c r="D388" s="185"/>
      <c r="E388" s="179"/>
      <c r="F388" s="179"/>
      <c r="G388" s="185"/>
      <c r="H388" s="302"/>
      <c r="I388" s="176"/>
      <c r="J388" s="302"/>
    </row>
    <row r="389" spans="1:10" x14ac:dyDescent="0.25">
      <c r="A389" s="185"/>
      <c r="B389" s="176"/>
      <c r="C389" s="176"/>
      <c r="D389" s="185"/>
      <c r="E389" s="179"/>
      <c r="F389" s="179"/>
      <c r="G389" s="185"/>
      <c r="H389" s="302"/>
      <c r="I389" s="176"/>
      <c r="J389" s="302"/>
    </row>
    <row r="390" spans="1:10" x14ac:dyDescent="0.25">
      <c r="A390" s="185"/>
      <c r="B390" s="176"/>
      <c r="C390" s="176"/>
      <c r="D390" s="185"/>
      <c r="E390" s="179"/>
      <c r="F390" s="179"/>
      <c r="G390" s="185"/>
      <c r="H390" s="302"/>
      <c r="I390" s="176"/>
      <c r="J390" s="302"/>
    </row>
    <row r="391" spans="1:10" x14ac:dyDescent="0.25">
      <c r="A391" s="185"/>
      <c r="B391" s="176"/>
      <c r="C391" s="176"/>
      <c r="D391" s="185"/>
      <c r="E391" s="179"/>
      <c r="F391" s="179"/>
      <c r="G391" s="185"/>
      <c r="H391" s="302"/>
      <c r="I391" s="176"/>
      <c r="J391" s="302"/>
    </row>
    <row r="392" spans="1:10" x14ac:dyDescent="0.25">
      <c r="A392" s="185"/>
      <c r="B392" s="176"/>
      <c r="C392" s="176"/>
      <c r="D392" s="185"/>
      <c r="E392" s="179"/>
      <c r="F392" s="179"/>
      <c r="G392" s="185"/>
      <c r="H392" s="302"/>
      <c r="I392" s="176"/>
      <c r="J392" s="302"/>
    </row>
    <row r="393" spans="1:10" x14ac:dyDescent="0.25">
      <c r="A393" s="185"/>
      <c r="B393" s="176"/>
      <c r="C393" s="176"/>
      <c r="D393" s="185"/>
      <c r="E393" s="179"/>
      <c r="F393" s="179"/>
      <c r="G393" s="185"/>
      <c r="H393" s="302"/>
      <c r="I393" s="176"/>
      <c r="J393" s="302"/>
    </row>
    <row r="394" spans="1:10" x14ac:dyDescent="0.25">
      <c r="A394" s="185"/>
      <c r="B394" s="176"/>
      <c r="C394" s="176"/>
      <c r="D394" s="185"/>
      <c r="E394" s="179"/>
      <c r="F394" s="179"/>
      <c r="G394" s="185"/>
      <c r="H394" s="302"/>
      <c r="I394" s="176"/>
      <c r="J394" s="302"/>
    </row>
    <row r="395" spans="1:10" x14ac:dyDescent="0.25">
      <c r="A395" s="185"/>
      <c r="B395" s="176"/>
      <c r="C395" s="176"/>
      <c r="D395" s="185"/>
      <c r="E395" s="179"/>
      <c r="F395" s="179"/>
      <c r="G395" s="185"/>
      <c r="H395" s="302"/>
      <c r="I395" s="176"/>
      <c r="J395" s="302"/>
    </row>
    <row r="396" spans="1:10" x14ac:dyDescent="0.25">
      <c r="A396" s="185"/>
      <c r="B396" s="176"/>
      <c r="C396" s="176"/>
      <c r="D396" s="185"/>
      <c r="E396" s="179"/>
      <c r="F396" s="179"/>
      <c r="G396" s="185"/>
      <c r="H396" s="302"/>
      <c r="I396" s="176"/>
      <c r="J396" s="302"/>
    </row>
    <row r="397" spans="1:10" x14ac:dyDescent="0.25">
      <c r="A397" s="185"/>
      <c r="B397" s="176"/>
      <c r="C397" s="176"/>
      <c r="D397" s="185"/>
      <c r="E397" s="179"/>
      <c r="F397" s="179"/>
      <c r="G397" s="185"/>
      <c r="H397" s="302"/>
      <c r="I397" s="176"/>
      <c r="J397" s="302"/>
    </row>
    <row r="398" spans="1:10" x14ac:dyDescent="0.25">
      <c r="A398" s="185"/>
      <c r="B398" s="176"/>
      <c r="C398" s="176"/>
      <c r="D398" s="185"/>
      <c r="E398" s="179"/>
      <c r="F398" s="179"/>
      <c r="G398" s="185"/>
      <c r="H398" s="302"/>
      <c r="I398" s="176"/>
      <c r="J398" s="302"/>
    </row>
    <row r="399" spans="1:10" x14ac:dyDescent="0.25">
      <c r="A399" s="185"/>
      <c r="B399" s="176"/>
      <c r="C399" s="176"/>
      <c r="D399" s="185"/>
      <c r="E399" s="179"/>
      <c r="F399" s="179"/>
      <c r="G399" s="185"/>
      <c r="H399" s="302"/>
      <c r="I399" s="176"/>
      <c r="J399" s="302"/>
    </row>
    <row r="400" spans="1:10" x14ac:dyDescent="0.25">
      <c r="A400" s="185"/>
      <c r="B400" s="176"/>
      <c r="C400" s="176"/>
      <c r="D400" s="185"/>
      <c r="E400" s="179"/>
      <c r="F400" s="179"/>
      <c r="G400" s="185"/>
      <c r="H400" s="302"/>
      <c r="I400" s="176"/>
      <c r="J400" s="302"/>
    </row>
    <row r="401" spans="1:10" x14ac:dyDescent="0.25">
      <c r="A401" s="185"/>
      <c r="B401" s="176"/>
      <c r="C401" s="176"/>
      <c r="D401" s="185"/>
      <c r="E401" s="179"/>
      <c r="F401" s="179"/>
      <c r="G401" s="185"/>
      <c r="H401" s="302"/>
      <c r="I401" s="176"/>
      <c r="J401" s="302"/>
    </row>
    <row r="402" spans="1:10" x14ac:dyDescent="0.25">
      <c r="A402" s="185"/>
      <c r="B402" s="176"/>
      <c r="C402" s="176"/>
      <c r="D402" s="185"/>
      <c r="E402" s="179"/>
      <c r="F402" s="179"/>
      <c r="G402" s="185"/>
      <c r="H402" s="302"/>
      <c r="I402" s="176"/>
      <c r="J402" s="302"/>
    </row>
    <row r="403" spans="1:10" x14ac:dyDescent="0.25">
      <c r="A403" s="185"/>
      <c r="B403" s="176"/>
      <c r="C403" s="176"/>
      <c r="D403" s="185"/>
      <c r="E403" s="179"/>
      <c r="F403" s="179"/>
      <c r="G403" s="185"/>
      <c r="H403" s="302"/>
      <c r="I403" s="176"/>
      <c r="J403" s="302"/>
    </row>
    <row r="404" spans="1:10" x14ac:dyDescent="0.25">
      <c r="A404" s="185"/>
      <c r="B404" s="176"/>
      <c r="C404" s="176"/>
      <c r="D404" s="185"/>
      <c r="E404" s="179"/>
      <c r="F404" s="179"/>
      <c r="G404" s="185"/>
      <c r="H404" s="302"/>
      <c r="I404" s="176"/>
      <c r="J404" s="302"/>
    </row>
    <row r="405" spans="1:10" x14ac:dyDescent="0.25">
      <c r="A405" s="185"/>
      <c r="B405" s="176"/>
      <c r="C405" s="176"/>
      <c r="D405" s="185"/>
      <c r="E405" s="179"/>
      <c r="F405" s="179"/>
      <c r="G405" s="185"/>
      <c r="H405" s="302"/>
      <c r="I405" s="176"/>
      <c r="J405" s="302"/>
    </row>
    <row r="406" spans="1:10" x14ac:dyDescent="0.25">
      <c r="A406" s="185"/>
      <c r="B406" s="176"/>
      <c r="C406" s="176"/>
      <c r="D406" s="185"/>
      <c r="E406" s="179"/>
      <c r="F406" s="179"/>
      <c r="G406" s="185"/>
      <c r="H406" s="302"/>
      <c r="I406" s="176"/>
      <c r="J406" s="302"/>
    </row>
    <row r="407" spans="1:10" x14ac:dyDescent="0.25">
      <c r="A407" s="185"/>
      <c r="B407" s="176"/>
      <c r="C407" s="176"/>
      <c r="D407" s="185"/>
      <c r="E407" s="179"/>
      <c r="F407" s="179"/>
      <c r="G407" s="185"/>
      <c r="H407" s="302"/>
      <c r="I407" s="176"/>
      <c r="J407" s="302"/>
    </row>
    <row r="408" spans="1:10" x14ac:dyDescent="0.25">
      <c r="A408" s="185"/>
      <c r="B408" s="176"/>
      <c r="C408" s="176"/>
      <c r="D408" s="185"/>
      <c r="E408" s="179"/>
      <c r="F408" s="179"/>
      <c r="G408" s="185"/>
      <c r="H408" s="302"/>
      <c r="I408" s="176"/>
      <c r="J408" s="302"/>
    </row>
    <row r="409" spans="1:10" x14ac:dyDescent="0.25">
      <c r="A409" s="185"/>
      <c r="B409" s="176"/>
      <c r="C409" s="176"/>
      <c r="D409" s="185"/>
      <c r="E409" s="179"/>
      <c r="F409" s="179"/>
      <c r="G409" s="185"/>
      <c r="H409" s="302"/>
      <c r="I409" s="176"/>
      <c r="J409" s="302"/>
    </row>
    <row r="410" spans="1:10" x14ac:dyDescent="0.25">
      <c r="A410" s="185"/>
      <c r="B410" s="176"/>
      <c r="C410" s="176"/>
      <c r="D410" s="185"/>
      <c r="E410" s="179"/>
      <c r="F410" s="179"/>
      <c r="G410" s="185"/>
      <c r="H410" s="302"/>
      <c r="I410" s="176"/>
      <c r="J410" s="302"/>
    </row>
    <row r="411" spans="1:10" x14ac:dyDescent="0.25">
      <c r="A411" s="185"/>
      <c r="B411" s="176"/>
      <c r="C411" s="176"/>
      <c r="D411" s="185"/>
      <c r="E411" s="179"/>
      <c r="F411" s="179"/>
      <c r="G411" s="185"/>
      <c r="H411" s="302"/>
      <c r="I411" s="176"/>
      <c r="J411" s="302"/>
    </row>
    <row r="412" spans="1:10" x14ac:dyDescent="0.25">
      <c r="A412" s="185"/>
      <c r="B412" s="176"/>
      <c r="C412" s="176"/>
      <c r="D412" s="185"/>
      <c r="E412" s="179"/>
      <c r="F412" s="179"/>
      <c r="G412" s="185"/>
      <c r="H412" s="302"/>
      <c r="I412" s="176"/>
      <c r="J412" s="302"/>
    </row>
    <row r="413" spans="1:10" x14ac:dyDescent="0.25">
      <c r="A413" s="185"/>
      <c r="B413" s="176"/>
      <c r="C413" s="176"/>
      <c r="D413" s="185"/>
      <c r="E413" s="179"/>
      <c r="F413" s="179"/>
      <c r="G413" s="185"/>
      <c r="H413" s="302"/>
      <c r="I413" s="176"/>
      <c r="J413" s="302"/>
    </row>
    <row r="414" spans="1:10" x14ac:dyDescent="0.25">
      <c r="A414" s="185"/>
      <c r="B414" s="176"/>
      <c r="C414" s="176"/>
      <c r="D414" s="185"/>
      <c r="E414" s="179"/>
      <c r="F414" s="179"/>
      <c r="G414" s="185"/>
      <c r="H414" s="302"/>
      <c r="I414" s="176"/>
      <c r="J414" s="302"/>
    </row>
    <row r="415" spans="1:10" x14ac:dyDescent="0.25">
      <c r="A415" s="185"/>
      <c r="B415" s="176"/>
      <c r="C415" s="176"/>
      <c r="D415" s="185"/>
      <c r="E415" s="179"/>
      <c r="F415" s="179"/>
      <c r="G415" s="185"/>
      <c r="H415" s="302"/>
      <c r="I415" s="176"/>
      <c r="J415" s="302"/>
    </row>
    <row r="416" spans="1:10" x14ac:dyDescent="0.25">
      <c r="A416" s="185"/>
      <c r="B416" s="176"/>
      <c r="C416" s="176"/>
      <c r="D416" s="185"/>
      <c r="E416" s="179"/>
      <c r="F416" s="179"/>
      <c r="G416" s="185"/>
      <c r="H416" s="302"/>
      <c r="I416" s="176"/>
      <c r="J416" s="302"/>
    </row>
    <row r="417" spans="1:10" x14ac:dyDescent="0.25">
      <c r="A417" s="185"/>
      <c r="B417" s="176"/>
      <c r="C417" s="176"/>
      <c r="D417" s="185"/>
      <c r="E417" s="179"/>
      <c r="F417" s="179"/>
      <c r="G417" s="185"/>
      <c r="H417" s="302"/>
      <c r="I417" s="176"/>
      <c r="J417" s="302"/>
    </row>
    <row r="418" spans="1:10" x14ac:dyDescent="0.25">
      <c r="A418" s="185"/>
      <c r="B418" s="176"/>
      <c r="C418" s="176"/>
      <c r="D418" s="185"/>
      <c r="E418" s="179"/>
      <c r="F418" s="179"/>
      <c r="G418" s="185"/>
      <c r="H418" s="302"/>
      <c r="I418" s="176"/>
      <c r="J418" s="302"/>
    </row>
    <row r="419" spans="1:10" x14ac:dyDescent="0.25">
      <c r="A419" s="185"/>
      <c r="B419" s="176"/>
      <c r="C419" s="176"/>
      <c r="D419" s="185"/>
      <c r="E419" s="179"/>
      <c r="F419" s="179"/>
      <c r="G419" s="185"/>
      <c r="H419" s="302"/>
      <c r="I419" s="176"/>
      <c r="J419" s="302"/>
    </row>
    <row r="420" spans="1:10" x14ac:dyDescent="0.25">
      <c r="A420" s="185"/>
      <c r="B420" s="176"/>
      <c r="C420" s="176"/>
      <c r="D420" s="185"/>
      <c r="E420" s="179"/>
      <c r="F420" s="179"/>
      <c r="G420" s="185"/>
      <c r="H420" s="302"/>
      <c r="I420" s="176"/>
      <c r="J420" s="302"/>
    </row>
    <row r="421" spans="1:10" x14ac:dyDescent="0.25">
      <c r="A421" s="185"/>
      <c r="B421" s="176"/>
      <c r="C421" s="176"/>
      <c r="D421" s="185"/>
      <c r="E421" s="179"/>
      <c r="F421" s="179"/>
      <c r="G421" s="185"/>
      <c r="H421" s="302"/>
      <c r="I421" s="176"/>
      <c r="J421" s="302"/>
    </row>
    <row r="422" spans="1:10" x14ac:dyDescent="0.25">
      <c r="A422" s="185"/>
      <c r="B422" s="176"/>
      <c r="C422" s="176"/>
      <c r="D422" s="185"/>
      <c r="E422" s="179"/>
      <c r="F422" s="179"/>
      <c r="G422" s="185"/>
      <c r="H422" s="302"/>
      <c r="I422" s="176"/>
      <c r="J422" s="302"/>
    </row>
    <row r="423" spans="1:10" x14ac:dyDescent="0.25">
      <c r="A423" s="185"/>
      <c r="B423" s="176"/>
      <c r="C423" s="176"/>
      <c r="D423" s="185"/>
      <c r="E423" s="179"/>
      <c r="F423" s="179"/>
      <c r="G423" s="185"/>
      <c r="H423" s="302"/>
      <c r="I423" s="176"/>
      <c r="J423" s="302"/>
    </row>
    <row r="424" spans="1:10" x14ac:dyDescent="0.25">
      <c r="A424" s="185"/>
      <c r="B424" s="176"/>
      <c r="C424" s="176"/>
      <c r="D424" s="185"/>
      <c r="E424" s="179"/>
      <c r="F424" s="179"/>
      <c r="G424" s="185"/>
      <c r="H424" s="302"/>
      <c r="I424" s="176"/>
      <c r="J424" s="302"/>
    </row>
    <row r="425" spans="1:10" x14ac:dyDescent="0.25">
      <c r="A425" s="185"/>
      <c r="B425" s="176"/>
      <c r="C425" s="176"/>
      <c r="D425" s="185"/>
      <c r="E425" s="179"/>
      <c r="F425" s="179"/>
      <c r="G425" s="185"/>
      <c r="H425" s="302"/>
      <c r="I425" s="176"/>
      <c r="J425" s="302"/>
    </row>
    <row r="426" spans="1:10" x14ac:dyDescent="0.25">
      <c r="A426" s="185"/>
      <c r="B426" s="176"/>
      <c r="C426" s="176"/>
      <c r="D426" s="185"/>
      <c r="E426" s="179"/>
      <c r="F426" s="179"/>
      <c r="G426" s="185"/>
      <c r="H426" s="302"/>
      <c r="I426" s="176"/>
      <c r="J426" s="302"/>
    </row>
    <row r="427" spans="1:10" x14ac:dyDescent="0.25">
      <c r="A427" s="185"/>
      <c r="B427" s="176"/>
      <c r="C427" s="176"/>
      <c r="D427" s="185"/>
      <c r="E427" s="179"/>
      <c r="F427" s="179"/>
      <c r="G427" s="185"/>
      <c r="H427" s="302"/>
      <c r="I427" s="176"/>
      <c r="J427" s="302"/>
    </row>
    <row r="428" spans="1:10" x14ac:dyDescent="0.25">
      <c r="A428" s="185"/>
      <c r="B428" s="176"/>
      <c r="C428" s="176"/>
      <c r="D428" s="185"/>
      <c r="E428" s="179"/>
      <c r="F428" s="179"/>
      <c r="G428" s="185"/>
      <c r="H428" s="302"/>
      <c r="I428" s="176"/>
      <c r="J428" s="302"/>
    </row>
    <row r="429" spans="1:10" x14ac:dyDescent="0.25">
      <c r="A429" s="185"/>
      <c r="B429" s="176"/>
      <c r="C429" s="176"/>
      <c r="D429" s="185"/>
      <c r="E429" s="179"/>
      <c r="F429" s="179"/>
      <c r="G429" s="185"/>
      <c r="H429" s="302"/>
      <c r="I429" s="176"/>
      <c r="J429" s="302"/>
    </row>
    <row r="430" spans="1:10" x14ac:dyDescent="0.25">
      <c r="A430" s="185"/>
      <c r="B430" s="176"/>
      <c r="C430" s="176"/>
      <c r="D430" s="185"/>
      <c r="E430" s="179"/>
      <c r="F430" s="179"/>
      <c r="G430" s="185"/>
      <c r="H430" s="302"/>
      <c r="I430" s="176"/>
      <c r="J430" s="302"/>
    </row>
    <row r="431" spans="1:10" x14ac:dyDescent="0.25">
      <c r="A431" s="185"/>
      <c r="B431" s="176"/>
      <c r="C431" s="176"/>
      <c r="D431" s="185"/>
      <c r="E431" s="179"/>
      <c r="F431" s="179"/>
      <c r="G431" s="185"/>
      <c r="H431" s="302"/>
      <c r="I431" s="176"/>
      <c r="J431" s="302"/>
    </row>
    <row r="432" spans="1:10" x14ac:dyDescent="0.25">
      <c r="A432" s="185"/>
      <c r="B432" s="176"/>
      <c r="C432" s="176"/>
      <c r="D432" s="185"/>
      <c r="E432" s="179"/>
      <c r="F432" s="179"/>
      <c r="G432" s="185"/>
      <c r="H432" s="302"/>
      <c r="I432" s="176"/>
      <c r="J432" s="302"/>
    </row>
    <row r="433" spans="1:10" x14ac:dyDescent="0.25">
      <c r="A433" s="185"/>
      <c r="B433" s="176"/>
      <c r="C433" s="176"/>
      <c r="D433" s="185"/>
      <c r="E433" s="179"/>
      <c r="F433" s="179"/>
      <c r="G433" s="185"/>
      <c r="H433" s="302"/>
      <c r="I433" s="176"/>
      <c r="J433" s="302"/>
    </row>
    <row r="434" spans="1:10" x14ac:dyDescent="0.25">
      <c r="A434" s="185"/>
      <c r="B434" s="176"/>
      <c r="C434" s="176"/>
      <c r="D434" s="185"/>
      <c r="E434" s="179"/>
      <c r="F434" s="179"/>
      <c r="G434" s="185"/>
      <c r="H434" s="302"/>
      <c r="I434" s="176"/>
      <c r="J434" s="302"/>
    </row>
    <row r="435" spans="1:10" x14ac:dyDescent="0.25">
      <c r="A435" s="185"/>
      <c r="B435" s="176"/>
      <c r="C435" s="176"/>
      <c r="D435" s="185"/>
      <c r="E435" s="179"/>
      <c r="F435" s="179"/>
      <c r="G435" s="185"/>
      <c r="H435" s="302"/>
      <c r="I435" s="176"/>
      <c r="J435" s="302"/>
    </row>
    <row r="436" spans="1:10" x14ac:dyDescent="0.25">
      <c r="A436" s="185"/>
      <c r="B436" s="176"/>
      <c r="C436" s="176"/>
      <c r="D436" s="185"/>
      <c r="E436" s="179"/>
      <c r="F436" s="179"/>
      <c r="G436" s="185"/>
      <c r="H436" s="302"/>
      <c r="I436" s="176"/>
      <c r="J436" s="302"/>
    </row>
    <row r="437" spans="1:10" x14ac:dyDescent="0.25">
      <c r="A437" s="185"/>
      <c r="B437" s="176"/>
      <c r="C437" s="176"/>
      <c r="D437" s="185"/>
      <c r="E437" s="179"/>
      <c r="F437" s="179"/>
      <c r="G437" s="185"/>
      <c r="H437" s="302"/>
      <c r="I437" s="176"/>
      <c r="J437" s="302"/>
    </row>
    <row r="438" spans="1:10" x14ac:dyDescent="0.25">
      <c r="A438" s="185"/>
      <c r="B438" s="176"/>
      <c r="C438" s="176"/>
      <c r="D438" s="185"/>
      <c r="E438" s="179"/>
      <c r="F438" s="179"/>
      <c r="G438" s="185"/>
      <c r="H438" s="302"/>
      <c r="I438" s="176"/>
      <c r="J438" s="302"/>
    </row>
    <row r="439" spans="1:10" x14ac:dyDescent="0.25">
      <c r="A439" s="185"/>
      <c r="B439" s="176"/>
      <c r="C439" s="176"/>
      <c r="D439" s="185"/>
      <c r="E439" s="179"/>
      <c r="F439" s="179"/>
      <c r="G439" s="185"/>
      <c r="H439" s="302"/>
      <c r="I439" s="176"/>
      <c r="J439" s="302"/>
    </row>
    <row r="440" spans="1:10" x14ac:dyDescent="0.25">
      <c r="A440" s="185"/>
      <c r="B440" s="176"/>
      <c r="C440" s="176"/>
      <c r="D440" s="185"/>
      <c r="E440" s="179"/>
      <c r="F440" s="179"/>
      <c r="G440" s="185"/>
      <c r="H440" s="302"/>
      <c r="I440" s="176"/>
      <c r="J440" s="302"/>
    </row>
    <row r="441" spans="1:10" x14ac:dyDescent="0.25">
      <c r="A441" s="185"/>
      <c r="B441" s="176"/>
      <c r="C441" s="176"/>
      <c r="D441" s="185"/>
      <c r="E441" s="179"/>
      <c r="F441" s="179"/>
      <c r="G441" s="185"/>
      <c r="H441" s="302"/>
      <c r="I441" s="176"/>
      <c r="J441" s="302"/>
    </row>
    <row r="442" spans="1:10" x14ac:dyDescent="0.25">
      <c r="A442" s="185"/>
      <c r="B442" s="176"/>
      <c r="C442" s="176"/>
      <c r="D442" s="185"/>
      <c r="E442" s="179"/>
      <c r="F442" s="179"/>
      <c r="G442" s="185"/>
      <c r="H442" s="302"/>
      <c r="I442" s="176"/>
      <c r="J442" s="302"/>
    </row>
    <row r="443" spans="1:10" x14ac:dyDescent="0.25">
      <c r="A443" s="185"/>
      <c r="B443" s="176"/>
      <c r="C443" s="176"/>
      <c r="D443" s="185"/>
      <c r="E443" s="179"/>
      <c r="F443" s="179"/>
      <c r="G443" s="185"/>
      <c r="H443" s="302"/>
      <c r="I443" s="176"/>
      <c r="J443" s="302"/>
    </row>
    <row r="444" spans="1:10" x14ac:dyDescent="0.25">
      <c r="A444" s="185"/>
      <c r="B444" s="176"/>
      <c r="C444" s="176"/>
      <c r="D444" s="185"/>
      <c r="E444" s="179"/>
      <c r="F444" s="179"/>
      <c r="G444" s="185"/>
      <c r="H444" s="302"/>
      <c r="I444" s="176"/>
      <c r="J444" s="302"/>
    </row>
    <row r="445" spans="1:10" x14ac:dyDescent="0.25">
      <c r="A445" s="185"/>
      <c r="B445" s="176"/>
      <c r="C445" s="176"/>
      <c r="D445" s="185"/>
      <c r="E445" s="179"/>
      <c r="F445" s="179"/>
      <c r="G445" s="185"/>
      <c r="H445" s="302"/>
      <c r="I445" s="176"/>
      <c r="J445" s="302"/>
    </row>
    <row r="446" spans="1:10" x14ac:dyDescent="0.25">
      <c r="A446" s="185"/>
      <c r="B446" s="176"/>
      <c r="C446" s="176"/>
      <c r="D446" s="185"/>
      <c r="E446" s="179"/>
      <c r="F446" s="179"/>
      <c r="G446" s="185"/>
      <c r="H446" s="302"/>
      <c r="I446" s="176"/>
      <c r="J446" s="302"/>
    </row>
    <row r="447" spans="1:10" x14ac:dyDescent="0.25">
      <c r="A447" s="185"/>
      <c r="B447" s="176"/>
      <c r="C447" s="176"/>
      <c r="D447" s="185"/>
      <c r="E447" s="179"/>
      <c r="F447" s="179"/>
      <c r="G447" s="185"/>
      <c r="H447" s="302"/>
      <c r="I447" s="176"/>
      <c r="J447" s="302"/>
    </row>
    <row r="448" spans="1:10" x14ac:dyDescent="0.25">
      <c r="A448" s="185"/>
      <c r="B448" s="176"/>
      <c r="C448" s="176"/>
      <c r="D448" s="185"/>
      <c r="E448" s="179"/>
      <c r="F448" s="179"/>
      <c r="G448" s="185"/>
      <c r="H448" s="302"/>
      <c r="I448" s="176"/>
      <c r="J448" s="302"/>
    </row>
    <row r="449" spans="1:10" x14ac:dyDescent="0.25">
      <c r="A449" s="185"/>
      <c r="B449" s="176"/>
      <c r="C449" s="176"/>
      <c r="D449" s="185"/>
      <c r="E449" s="179"/>
      <c r="F449" s="179"/>
      <c r="G449" s="185"/>
      <c r="H449" s="302"/>
      <c r="I449" s="176"/>
      <c r="J449" s="302"/>
    </row>
    <row r="450" spans="1:10" x14ac:dyDescent="0.25">
      <c r="A450" s="185"/>
      <c r="B450" s="176"/>
      <c r="C450" s="176"/>
      <c r="D450" s="185"/>
      <c r="E450" s="179"/>
      <c r="F450" s="179"/>
      <c r="G450" s="185"/>
      <c r="H450" s="302"/>
      <c r="I450" s="176"/>
      <c r="J450" s="302"/>
    </row>
    <row r="451" spans="1:10" x14ac:dyDescent="0.25">
      <c r="A451" s="185"/>
      <c r="B451" s="176"/>
      <c r="C451" s="176"/>
      <c r="D451" s="185"/>
      <c r="E451" s="179"/>
      <c r="F451" s="179"/>
      <c r="G451" s="185"/>
      <c r="H451" s="302"/>
      <c r="I451" s="176"/>
      <c r="J451" s="302"/>
    </row>
    <row r="452" spans="1:10" x14ac:dyDescent="0.25">
      <c r="A452" s="185"/>
      <c r="B452" s="176"/>
      <c r="C452" s="176"/>
      <c r="D452" s="185"/>
      <c r="E452" s="179"/>
      <c r="F452" s="179"/>
      <c r="G452" s="185"/>
      <c r="H452" s="302"/>
      <c r="I452" s="176"/>
      <c r="J452" s="302"/>
    </row>
    <row r="453" spans="1:10" x14ac:dyDescent="0.25">
      <c r="A453" s="185"/>
      <c r="B453" s="176"/>
      <c r="C453" s="176"/>
      <c r="D453" s="185"/>
      <c r="E453" s="179"/>
      <c r="F453" s="179"/>
      <c r="G453" s="185"/>
      <c r="H453" s="302"/>
      <c r="I453" s="176"/>
      <c r="J453" s="302"/>
    </row>
    <row r="454" spans="1:10" x14ac:dyDescent="0.25">
      <c r="A454" s="185"/>
      <c r="B454" s="176"/>
      <c r="C454" s="176"/>
      <c r="D454" s="185"/>
      <c r="E454" s="179"/>
      <c r="F454" s="179"/>
      <c r="G454" s="185"/>
      <c r="H454" s="302"/>
      <c r="I454" s="176"/>
      <c r="J454" s="302"/>
    </row>
    <row r="455" spans="1:10" x14ac:dyDescent="0.25">
      <c r="A455" s="185"/>
      <c r="B455" s="176"/>
      <c r="C455" s="176"/>
      <c r="D455" s="185"/>
      <c r="E455" s="179"/>
      <c r="F455" s="179"/>
      <c r="G455" s="185"/>
      <c r="H455" s="302"/>
      <c r="I455" s="176"/>
      <c r="J455" s="302"/>
    </row>
    <row r="456" spans="1:10" x14ac:dyDescent="0.25">
      <c r="A456" s="185"/>
      <c r="B456" s="176"/>
      <c r="C456" s="176"/>
      <c r="D456" s="185"/>
      <c r="E456" s="179"/>
      <c r="F456" s="179"/>
      <c r="G456" s="185"/>
      <c r="H456" s="302"/>
      <c r="I456" s="176"/>
      <c r="J456" s="302"/>
    </row>
    <row r="457" spans="1:10" x14ac:dyDescent="0.25">
      <c r="A457" s="185"/>
      <c r="B457" s="176"/>
      <c r="C457" s="176"/>
      <c r="D457" s="185"/>
      <c r="E457" s="179"/>
      <c r="F457" s="179"/>
      <c r="G457" s="185"/>
      <c r="H457" s="302"/>
      <c r="I457" s="176"/>
      <c r="J457" s="302"/>
    </row>
    <row r="458" spans="1:10" x14ac:dyDescent="0.25">
      <c r="A458" s="185"/>
      <c r="B458" s="176"/>
      <c r="C458" s="176"/>
      <c r="D458" s="185"/>
      <c r="E458" s="179"/>
      <c r="F458" s="179"/>
      <c r="G458" s="185"/>
      <c r="H458" s="302"/>
      <c r="I458" s="176"/>
      <c r="J458" s="302"/>
    </row>
    <row r="459" spans="1:10" x14ac:dyDescent="0.25">
      <c r="A459" s="185"/>
      <c r="B459" s="176"/>
      <c r="C459" s="176"/>
      <c r="D459" s="185"/>
      <c r="E459" s="179"/>
      <c r="F459" s="179"/>
      <c r="G459" s="185"/>
      <c r="H459" s="302"/>
      <c r="I459" s="176"/>
      <c r="J459" s="302"/>
    </row>
    <row r="460" spans="1:10" x14ac:dyDescent="0.25">
      <c r="A460" s="185"/>
      <c r="B460" s="176"/>
      <c r="C460" s="176"/>
      <c r="D460" s="185"/>
      <c r="E460" s="179"/>
      <c r="F460" s="179"/>
      <c r="G460" s="185"/>
      <c r="H460" s="302"/>
      <c r="I460" s="176"/>
      <c r="J460" s="302"/>
    </row>
    <row r="461" spans="1:10" x14ac:dyDescent="0.25">
      <c r="A461" s="185"/>
      <c r="B461" s="176"/>
      <c r="C461" s="176"/>
      <c r="D461" s="185"/>
      <c r="E461" s="179"/>
      <c r="F461" s="179"/>
      <c r="G461" s="185"/>
      <c r="H461" s="302"/>
      <c r="I461" s="176"/>
      <c r="J461" s="302"/>
    </row>
    <row r="462" spans="1:10" x14ac:dyDescent="0.25">
      <c r="A462" s="185"/>
      <c r="B462" s="176"/>
      <c r="C462" s="176"/>
      <c r="D462" s="185"/>
      <c r="E462" s="179"/>
      <c r="F462" s="179"/>
      <c r="G462" s="185"/>
      <c r="H462" s="302"/>
      <c r="I462" s="176"/>
      <c r="J462" s="302"/>
    </row>
    <row r="463" spans="1:10" x14ac:dyDescent="0.25">
      <c r="A463" s="185"/>
      <c r="B463" s="176"/>
      <c r="C463" s="176"/>
      <c r="D463" s="185"/>
      <c r="E463" s="179"/>
      <c r="F463" s="179"/>
      <c r="G463" s="185"/>
      <c r="H463" s="302"/>
      <c r="I463" s="176"/>
      <c r="J463" s="302"/>
    </row>
    <row r="464" spans="1:10" x14ac:dyDescent="0.25">
      <c r="A464" s="185"/>
      <c r="B464" s="176"/>
      <c r="C464" s="176"/>
      <c r="D464" s="185"/>
      <c r="E464" s="179"/>
      <c r="F464" s="179"/>
      <c r="G464" s="185"/>
      <c r="H464" s="302"/>
      <c r="I464" s="176"/>
      <c r="J464" s="302"/>
    </row>
    <row r="465" spans="1:10" x14ac:dyDescent="0.25">
      <c r="A465" s="185"/>
      <c r="B465" s="176"/>
      <c r="C465" s="176"/>
      <c r="D465" s="185"/>
      <c r="E465" s="179"/>
      <c r="F465" s="179"/>
      <c r="G465" s="185"/>
      <c r="H465" s="302"/>
      <c r="I465" s="176"/>
      <c r="J465" s="302"/>
    </row>
    <row r="466" spans="1:10" x14ac:dyDescent="0.25">
      <c r="A466" s="185"/>
      <c r="B466" s="176"/>
      <c r="C466" s="176"/>
      <c r="D466" s="185"/>
      <c r="E466" s="179"/>
      <c r="F466" s="179"/>
      <c r="G466" s="185"/>
      <c r="H466" s="302"/>
      <c r="I466" s="176"/>
      <c r="J466" s="302"/>
    </row>
    <row r="467" spans="1:10" x14ac:dyDescent="0.25">
      <c r="A467" s="185"/>
      <c r="B467" s="176"/>
      <c r="C467" s="176"/>
      <c r="D467" s="185"/>
      <c r="E467" s="179"/>
      <c r="F467" s="179"/>
      <c r="G467" s="185"/>
      <c r="H467" s="302"/>
      <c r="I467" s="176"/>
      <c r="J467" s="302"/>
    </row>
    <row r="468" spans="1:10" x14ac:dyDescent="0.25">
      <c r="A468" s="185"/>
      <c r="B468" s="176"/>
      <c r="C468" s="176"/>
      <c r="D468" s="185"/>
      <c r="E468" s="179"/>
      <c r="F468" s="179"/>
      <c r="G468" s="185"/>
      <c r="H468" s="302"/>
      <c r="I468" s="176"/>
      <c r="J468" s="302"/>
    </row>
    <row r="469" spans="1:10" x14ac:dyDescent="0.25">
      <c r="A469" s="185"/>
      <c r="B469" s="176"/>
      <c r="C469" s="176"/>
      <c r="D469" s="185"/>
      <c r="E469" s="179"/>
      <c r="F469" s="179"/>
      <c r="G469" s="185"/>
      <c r="H469" s="302"/>
      <c r="I469" s="176"/>
      <c r="J469" s="302"/>
    </row>
    <row r="470" spans="1:10" x14ac:dyDescent="0.25">
      <c r="A470" s="185"/>
      <c r="B470" s="176"/>
      <c r="C470" s="176"/>
      <c r="D470" s="185"/>
      <c r="E470" s="179"/>
      <c r="F470" s="179"/>
      <c r="G470" s="185"/>
      <c r="H470" s="302"/>
      <c r="I470" s="176"/>
      <c r="J470" s="302"/>
    </row>
    <row r="471" spans="1:10" x14ac:dyDescent="0.25">
      <c r="A471" s="185"/>
      <c r="B471" s="176"/>
      <c r="C471" s="176"/>
      <c r="D471" s="185"/>
      <c r="E471" s="179"/>
      <c r="F471" s="179"/>
      <c r="G471" s="185"/>
      <c r="H471" s="302"/>
      <c r="I471" s="176"/>
      <c r="J471" s="302"/>
    </row>
    <row r="472" spans="1:10" x14ac:dyDescent="0.25">
      <c r="A472" s="185"/>
      <c r="B472" s="176"/>
      <c r="C472" s="176"/>
      <c r="D472" s="185"/>
      <c r="E472" s="179"/>
      <c r="F472" s="179"/>
      <c r="G472" s="185"/>
      <c r="H472" s="302"/>
      <c r="I472" s="176"/>
      <c r="J472" s="302"/>
    </row>
    <row r="473" spans="1:10" x14ac:dyDescent="0.25">
      <c r="A473" s="185"/>
      <c r="B473" s="176"/>
      <c r="C473" s="176"/>
      <c r="D473" s="185"/>
      <c r="E473" s="179"/>
      <c r="F473" s="179"/>
      <c r="G473" s="185"/>
      <c r="H473" s="302"/>
      <c r="I473" s="176"/>
      <c r="J473" s="302"/>
    </row>
    <row r="474" spans="1:10" x14ac:dyDescent="0.25">
      <c r="A474" s="185"/>
      <c r="B474" s="176"/>
      <c r="C474" s="176"/>
      <c r="D474" s="185"/>
      <c r="E474" s="179"/>
      <c r="F474" s="179"/>
      <c r="G474" s="185"/>
      <c r="H474" s="302"/>
      <c r="I474" s="176"/>
      <c r="J474" s="302"/>
    </row>
    <row r="475" spans="1:10" x14ac:dyDescent="0.25">
      <c r="A475" s="185"/>
      <c r="B475" s="176"/>
      <c r="C475" s="176"/>
      <c r="D475" s="185"/>
      <c r="E475" s="179"/>
      <c r="F475" s="179"/>
      <c r="G475" s="185"/>
      <c r="H475" s="302"/>
      <c r="I475" s="176"/>
      <c r="J475" s="302"/>
    </row>
    <row r="476" spans="1:10" x14ac:dyDescent="0.25">
      <c r="A476" s="185"/>
      <c r="B476" s="176"/>
      <c r="C476" s="176"/>
      <c r="D476" s="185"/>
      <c r="E476" s="179"/>
      <c r="F476" s="179"/>
      <c r="G476" s="185"/>
      <c r="H476" s="302"/>
      <c r="I476" s="176"/>
      <c r="J476" s="302"/>
    </row>
    <row r="477" spans="1:10" x14ac:dyDescent="0.25">
      <c r="A477" s="185"/>
      <c r="B477" s="176"/>
      <c r="C477" s="176"/>
      <c r="D477" s="185"/>
      <c r="E477" s="179"/>
      <c r="F477" s="179"/>
      <c r="G477" s="185"/>
      <c r="H477" s="302"/>
      <c r="I477" s="176"/>
      <c r="J477" s="302"/>
    </row>
    <row r="478" spans="1:10" x14ac:dyDescent="0.25">
      <c r="A478" s="185"/>
      <c r="B478" s="176"/>
      <c r="C478" s="176"/>
      <c r="D478" s="185"/>
      <c r="E478" s="179"/>
      <c r="F478" s="179"/>
      <c r="G478" s="185"/>
      <c r="H478" s="302"/>
      <c r="I478" s="176"/>
      <c r="J478" s="302"/>
    </row>
    <row r="479" spans="1:10" x14ac:dyDescent="0.25">
      <c r="A479" s="185"/>
      <c r="B479" s="176"/>
      <c r="C479" s="176"/>
      <c r="D479" s="185"/>
      <c r="E479" s="179"/>
      <c r="F479" s="179"/>
      <c r="G479" s="185"/>
      <c r="H479" s="302"/>
      <c r="I479" s="176"/>
      <c r="J479" s="302"/>
    </row>
    <row r="480" spans="1:10" x14ac:dyDescent="0.25">
      <c r="A480" s="185"/>
      <c r="B480" s="176"/>
      <c r="C480" s="176"/>
      <c r="D480" s="185"/>
      <c r="E480" s="179"/>
      <c r="F480" s="179"/>
      <c r="G480" s="185"/>
      <c r="H480" s="302"/>
      <c r="I480" s="176"/>
      <c r="J480" s="302"/>
    </row>
    <row r="481" spans="1:10" x14ac:dyDescent="0.25">
      <c r="A481" s="185"/>
      <c r="B481" s="176"/>
      <c r="C481" s="176"/>
      <c r="D481" s="185"/>
      <c r="E481" s="179"/>
      <c r="F481" s="179"/>
      <c r="G481" s="185"/>
      <c r="H481" s="302"/>
      <c r="I481" s="176"/>
      <c r="J481" s="302"/>
    </row>
    <row r="482" spans="1:10" x14ac:dyDescent="0.25">
      <c r="A482" s="185"/>
      <c r="B482" s="176"/>
      <c r="C482" s="176"/>
      <c r="D482" s="185"/>
      <c r="E482" s="179"/>
      <c r="F482" s="179"/>
      <c r="G482" s="185"/>
      <c r="H482" s="302"/>
      <c r="I482" s="176"/>
      <c r="J482" s="302"/>
    </row>
    <row r="483" spans="1:10" x14ac:dyDescent="0.25">
      <c r="A483" s="185"/>
      <c r="B483" s="176"/>
      <c r="C483" s="176"/>
      <c r="D483" s="185"/>
      <c r="E483" s="179"/>
      <c r="F483" s="179"/>
      <c r="G483" s="185"/>
      <c r="H483" s="302"/>
      <c r="I483" s="176"/>
      <c r="J483" s="302"/>
    </row>
    <row r="484" spans="1:10" x14ac:dyDescent="0.25">
      <c r="A484" s="185"/>
      <c r="B484" s="176"/>
      <c r="C484" s="176"/>
      <c r="D484" s="185"/>
      <c r="E484" s="179"/>
      <c r="F484" s="179"/>
      <c r="G484" s="185"/>
      <c r="H484" s="302"/>
      <c r="I484" s="176"/>
      <c r="J484" s="302"/>
    </row>
    <row r="485" spans="1:10" x14ac:dyDescent="0.25">
      <c r="A485" s="185"/>
      <c r="B485" s="176"/>
      <c r="C485" s="176"/>
      <c r="D485" s="185"/>
      <c r="E485" s="179"/>
      <c r="F485" s="179"/>
      <c r="G485" s="185"/>
      <c r="H485" s="302"/>
      <c r="I485" s="176"/>
      <c r="J485" s="302"/>
    </row>
    <row r="486" spans="1:10" x14ac:dyDescent="0.25">
      <c r="A486" s="185"/>
      <c r="B486" s="176"/>
      <c r="C486" s="176"/>
      <c r="D486" s="185"/>
      <c r="E486" s="179"/>
      <c r="F486" s="179"/>
      <c r="G486" s="185"/>
      <c r="H486" s="302"/>
      <c r="I486" s="176"/>
      <c r="J486" s="302"/>
    </row>
    <row r="487" spans="1:10" x14ac:dyDescent="0.25">
      <c r="A487" s="185"/>
      <c r="B487" s="176"/>
      <c r="C487" s="176"/>
      <c r="D487" s="185"/>
      <c r="E487" s="179"/>
      <c r="F487" s="179"/>
      <c r="G487" s="185"/>
      <c r="H487" s="302"/>
      <c r="I487" s="176"/>
      <c r="J487" s="302"/>
    </row>
    <row r="488" spans="1:10" x14ac:dyDescent="0.25">
      <c r="A488" s="185"/>
      <c r="B488" s="176"/>
      <c r="C488" s="176"/>
      <c r="D488" s="185"/>
      <c r="E488" s="179"/>
      <c r="F488" s="179"/>
      <c r="G488" s="185"/>
      <c r="H488" s="302"/>
      <c r="I488" s="176"/>
      <c r="J488" s="302"/>
    </row>
    <row r="489" spans="1:10" x14ac:dyDescent="0.25">
      <c r="A489" s="185"/>
      <c r="B489" s="176"/>
      <c r="C489" s="176"/>
      <c r="D489" s="185"/>
      <c r="E489" s="179"/>
      <c r="F489" s="179"/>
      <c r="G489" s="185"/>
      <c r="H489" s="302"/>
      <c r="I489" s="176"/>
      <c r="J489" s="302"/>
    </row>
    <row r="490" spans="1:10" x14ac:dyDescent="0.25">
      <c r="A490" s="185"/>
      <c r="B490" s="176"/>
      <c r="C490" s="176"/>
      <c r="D490" s="185"/>
      <c r="E490" s="179"/>
      <c r="F490" s="179"/>
      <c r="G490" s="185"/>
      <c r="H490" s="302"/>
      <c r="I490" s="176"/>
      <c r="J490" s="302"/>
    </row>
    <row r="491" spans="1:10" x14ac:dyDescent="0.25">
      <c r="A491" s="185"/>
      <c r="B491" s="176"/>
      <c r="C491" s="176"/>
      <c r="D491" s="185"/>
      <c r="E491" s="179"/>
      <c r="F491" s="179"/>
      <c r="G491" s="185"/>
      <c r="H491" s="302"/>
      <c r="I491" s="176"/>
      <c r="J491" s="302"/>
    </row>
    <row r="492" spans="1:10" x14ac:dyDescent="0.25">
      <c r="A492" s="185"/>
      <c r="B492" s="176"/>
      <c r="C492" s="176"/>
      <c r="D492" s="185"/>
      <c r="E492" s="179"/>
      <c r="F492" s="179"/>
      <c r="G492" s="185"/>
      <c r="H492" s="302"/>
      <c r="I492" s="176"/>
      <c r="J492" s="302"/>
    </row>
    <row r="493" spans="1:10" x14ac:dyDescent="0.25">
      <c r="A493" s="185"/>
      <c r="B493" s="176"/>
      <c r="C493" s="176"/>
      <c r="D493" s="185"/>
      <c r="E493" s="179"/>
      <c r="F493" s="179"/>
      <c r="G493" s="185"/>
      <c r="H493" s="302"/>
      <c r="I493" s="176"/>
      <c r="J493" s="302"/>
    </row>
    <row r="494" spans="1:10" x14ac:dyDescent="0.25">
      <c r="A494" s="185"/>
      <c r="B494" s="176"/>
      <c r="C494" s="176"/>
      <c r="D494" s="185"/>
      <c r="E494" s="179"/>
      <c r="F494" s="179"/>
      <c r="G494" s="185"/>
      <c r="H494" s="302"/>
      <c r="I494" s="176"/>
      <c r="J494" s="302"/>
    </row>
    <row r="495" spans="1:10" x14ac:dyDescent="0.25">
      <c r="A495" s="185"/>
      <c r="B495" s="176"/>
      <c r="C495" s="176"/>
      <c r="D495" s="185"/>
      <c r="E495" s="179"/>
      <c r="F495" s="179"/>
      <c r="G495" s="185"/>
      <c r="H495" s="302"/>
      <c r="I495" s="176"/>
      <c r="J495" s="302"/>
    </row>
    <row r="496" spans="1:10" x14ac:dyDescent="0.25">
      <c r="A496" s="185"/>
      <c r="B496" s="176"/>
      <c r="C496" s="176"/>
      <c r="D496" s="185"/>
      <c r="E496" s="179"/>
      <c r="F496" s="179"/>
      <c r="G496" s="185"/>
      <c r="H496" s="302"/>
      <c r="I496" s="176"/>
      <c r="J496" s="302"/>
    </row>
    <row r="497" spans="1:10" x14ac:dyDescent="0.25">
      <c r="A497" s="185"/>
      <c r="B497" s="176"/>
      <c r="C497" s="176"/>
      <c r="D497" s="185"/>
      <c r="E497" s="179"/>
      <c r="F497" s="179"/>
      <c r="G497" s="185"/>
      <c r="H497" s="302"/>
      <c r="I497" s="176"/>
      <c r="J497" s="302"/>
    </row>
    <row r="498" spans="1:10" x14ac:dyDescent="0.25">
      <c r="A498" s="185"/>
      <c r="B498" s="176"/>
      <c r="C498" s="176"/>
      <c r="D498" s="185"/>
      <c r="E498" s="179"/>
      <c r="F498" s="179"/>
      <c r="G498" s="185"/>
      <c r="H498" s="302"/>
      <c r="I498" s="176"/>
      <c r="J498" s="302"/>
    </row>
    <row r="499" spans="1:10" x14ac:dyDescent="0.25">
      <c r="A499" s="185"/>
      <c r="B499" s="176"/>
      <c r="C499" s="176"/>
      <c r="D499" s="185"/>
      <c r="E499" s="179"/>
      <c r="F499" s="179"/>
      <c r="G499" s="185"/>
      <c r="H499" s="302"/>
      <c r="I499" s="176"/>
      <c r="J499" s="302"/>
    </row>
    <row r="500" spans="1:10" x14ac:dyDescent="0.25">
      <c r="A500" s="185"/>
      <c r="B500" s="176"/>
      <c r="C500" s="176"/>
      <c r="D500" s="185"/>
      <c r="E500" s="179"/>
      <c r="F500" s="179"/>
      <c r="G500" s="185"/>
      <c r="H500" s="302"/>
      <c r="I500" s="176"/>
      <c r="J500" s="302"/>
    </row>
    <row r="501" spans="1:10" x14ac:dyDescent="0.25">
      <c r="A501" s="185"/>
      <c r="B501" s="176"/>
      <c r="C501" s="176"/>
      <c r="D501" s="185"/>
      <c r="E501" s="179"/>
      <c r="F501" s="179"/>
      <c r="G501" s="185"/>
      <c r="H501" s="302"/>
      <c r="I501" s="176"/>
      <c r="J501" s="302"/>
    </row>
    <row r="502" spans="1:10" x14ac:dyDescent="0.25">
      <c r="A502" s="185"/>
      <c r="B502" s="176"/>
      <c r="C502" s="176"/>
      <c r="D502" s="185"/>
      <c r="E502" s="179"/>
      <c r="F502" s="179"/>
      <c r="G502" s="185"/>
      <c r="H502" s="302"/>
      <c r="I502" s="176"/>
      <c r="J502" s="302"/>
    </row>
    <row r="503" spans="1:10" x14ac:dyDescent="0.25">
      <c r="A503" s="185"/>
      <c r="B503" s="176"/>
      <c r="C503" s="176"/>
      <c r="D503" s="185"/>
      <c r="E503" s="179"/>
      <c r="F503" s="179"/>
      <c r="G503" s="185"/>
      <c r="H503" s="302"/>
      <c r="I503" s="176"/>
      <c r="J503" s="302"/>
    </row>
    <row r="504" spans="1:10" x14ac:dyDescent="0.25">
      <c r="A504" s="185"/>
      <c r="B504" s="176"/>
      <c r="C504" s="176"/>
      <c r="D504" s="185"/>
      <c r="E504" s="179"/>
      <c r="F504" s="179"/>
      <c r="G504" s="185"/>
      <c r="H504" s="302"/>
      <c r="I504" s="176"/>
      <c r="J504" s="302"/>
    </row>
    <row r="505" spans="1:10" x14ac:dyDescent="0.25">
      <c r="A505" s="185"/>
      <c r="B505" s="176"/>
      <c r="C505" s="176"/>
      <c r="D505" s="185"/>
      <c r="E505" s="179"/>
      <c r="F505" s="179"/>
      <c r="G505" s="185"/>
      <c r="H505" s="302"/>
      <c r="I505" s="176"/>
      <c r="J505" s="302"/>
    </row>
    <row r="506" spans="1:10" x14ac:dyDescent="0.25">
      <c r="A506" s="185"/>
      <c r="B506" s="176"/>
      <c r="C506" s="176"/>
      <c r="D506" s="185"/>
      <c r="E506" s="179"/>
      <c r="F506" s="179"/>
      <c r="G506" s="185"/>
      <c r="H506" s="302"/>
      <c r="I506" s="176"/>
      <c r="J506" s="302"/>
    </row>
    <row r="507" spans="1:10" x14ac:dyDescent="0.25">
      <c r="A507" s="185"/>
      <c r="B507" s="176"/>
      <c r="C507" s="176"/>
      <c r="D507" s="185"/>
      <c r="E507" s="179"/>
      <c r="F507" s="179"/>
      <c r="G507" s="185"/>
      <c r="H507" s="302"/>
      <c r="I507" s="176"/>
      <c r="J507" s="302"/>
    </row>
    <row r="508" spans="1:10" x14ac:dyDescent="0.25">
      <c r="A508" s="185"/>
      <c r="B508" s="176"/>
      <c r="C508" s="176"/>
      <c r="D508" s="185"/>
      <c r="E508" s="179"/>
      <c r="F508" s="179"/>
      <c r="G508" s="185"/>
      <c r="H508" s="302"/>
      <c r="I508" s="176"/>
      <c r="J508" s="302"/>
    </row>
    <row r="509" spans="1:10" x14ac:dyDescent="0.25">
      <c r="A509" s="185"/>
      <c r="B509" s="176"/>
      <c r="C509" s="176"/>
      <c r="D509" s="185"/>
      <c r="E509" s="179"/>
      <c r="F509" s="179"/>
      <c r="G509" s="185"/>
      <c r="H509" s="302"/>
      <c r="I509" s="176"/>
      <c r="J509" s="302"/>
    </row>
    <row r="510" spans="1:10" x14ac:dyDescent="0.25">
      <c r="A510" s="185"/>
      <c r="B510" s="176"/>
      <c r="C510" s="176"/>
      <c r="D510" s="185"/>
      <c r="E510" s="179"/>
      <c r="F510" s="179"/>
      <c r="G510" s="185"/>
      <c r="H510" s="302"/>
      <c r="I510" s="176"/>
      <c r="J510" s="302"/>
    </row>
    <row r="511" spans="1:10" x14ac:dyDescent="0.25">
      <c r="A511" s="185"/>
      <c r="B511" s="176"/>
      <c r="C511" s="176"/>
      <c r="D511" s="185"/>
      <c r="E511" s="179"/>
      <c r="F511" s="179"/>
      <c r="G511" s="185"/>
      <c r="H511" s="302"/>
      <c r="I511" s="176"/>
      <c r="J511" s="302"/>
    </row>
    <row r="512" spans="1:10" x14ac:dyDescent="0.25">
      <c r="A512" s="185"/>
      <c r="B512" s="176"/>
      <c r="C512" s="176"/>
      <c r="D512" s="185"/>
      <c r="E512" s="179"/>
      <c r="F512" s="179"/>
      <c r="G512" s="185"/>
      <c r="H512" s="302"/>
      <c r="I512" s="176"/>
      <c r="J512" s="302"/>
    </row>
    <row r="513" spans="1:10" x14ac:dyDescent="0.25">
      <c r="A513" s="185"/>
      <c r="B513" s="176"/>
      <c r="C513" s="176"/>
      <c r="D513" s="185"/>
      <c r="E513" s="179"/>
      <c r="F513" s="179"/>
      <c r="G513" s="185"/>
      <c r="H513" s="302"/>
      <c r="I513" s="176"/>
      <c r="J513" s="302"/>
    </row>
    <row r="514" spans="1:10" x14ac:dyDescent="0.25">
      <c r="A514" s="185"/>
      <c r="B514" s="176"/>
      <c r="C514" s="176"/>
      <c r="D514" s="185"/>
      <c r="E514" s="179"/>
      <c r="F514" s="179"/>
      <c r="G514" s="185"/>
      <c r="H514" s="302"/>
      <c r="I514" s="176"/>
      <c r="J514" s="302"/>
    </row>
    <row r="515" spans="1:10" x14ac:dyDescent="0.25">
      <c r="A515" s="185"/>
      <c r="B515" s="176"/>
      <c r="C515" s="176"/>
      <c r="D515" s="185"/>
      <c r="E515" s="179"/>
      <c r="F515" s="179"/>
      <c r="G515" s="185"/>
      <c r="H515" s="302"/>
      <c r="I515" s="176"/>
      <c r="J515" s="302"/>
    </row>
    <row r="516" spans="1:10" x14ac:dyDescent="0.25">
      <c r="A516" s="185"/>
      <c r="B516" s="176"/>
      <c r="C516" s="176"/>
      <c r="D516" s="185"/>
      <c r="E516" s="179"/>
      <c r="F516" s="179"/>
      <c r="G516" s="185"/>
      <c r="H516" s="302"/>
      <c r="I516" s="176"/>
      <c r="J516" s="302"/>
    </row>
    <row r="517" spans="1:10" x14ac:dyDescent="0.25">
      <c r="A517" s="185"/>
      <c r="B517" s="176"/>
      <c r="C517" s="176"/>
      <c r="D517" s="185"/>
      <c r="E517" s="179"/>
      <c r="F517" s="179"/>
      <c r="G517" s="185"/>
      <c r="H517" s="302"/>
      <c r="I517" s="176"/>
      <c r="J517" s="302"/>
    </row>
    <row r="518" spans="1:10" x14ac:dyDescent="0.25">
      <c r="A518" s="185"/>
      <c r="B518" s="176"/>
      <c r="C518" s="176"/>
      <c r="D518" s="185"/>
      <c r="E518" s="179"/>
      <c r="F518" s="179"/>
      <c r="G518" s="185"/>
      <c r="H518" s="302"/>
      <c r="I518" s="176"/>
      <c r="J518" s="302"/>
    </row>
    <row r="519" spans="1:10" x14ac:dyDescent="0.25">
      <c r="A519" s="185"/>
      <c r="B519" s="176"/>
      <c r="C519" s="176"/>
      <c r="D519" s="185"/>
      <c r="E519" s="179"/>
      <c r="F519" s="179"/>
      <c r="G519" s="185"/>
      <c r="H519" s="302"/>
      <c r="I519" s="176"/>
      <c r="J519" s="302"/>
    </row>
    <row r="520" spans="1:10" x14ac:dyDescent="0.25">
      <c r="A520" s="185"/>
      <c r="B520" s="176"/>
      <c r="C520" s="176"/>
      <c r="D520" s="185"/>
      <c r="E520" s="179"/>
      <c r="F520" s="179"/>
      <c r="G520" s="185"/>
      <c r="H520" s="302"/>
      <c r="I520" s="176"/>
      <c r="J520" s="302"/>
    </row>
    <row r="521" spans="1:10" x14ac:dyDescent="0.25">
      <c r="A521" s="185"/>
      <c r="B521" s="176"/>
      <c r="C521" s="176"/>
      <c r="D521" s="185"/>
      <c r="E521" s="179"/>
      <c r="F521" s="179"/>
      <c r="G521" s="185"/>
      <c r="H521" s="302"/>
      <c r="I521" s="176"/>
      <c r="J521" s="302"/>
    </row>
    <row r="522" spans="1:10" x14ac:dyDescent="0.25">
      <c r="A522" s="185"/>
      <c r="B522" s="176"/>
      <c r="C522" s="176"/>
      <c r="D522" s="185"/>
      <c r="E522" s="179"/>
      <c r="F522" s="179"/>
      <c r="G522" s="185"/>
      <c r="H522" s="302"/>
      <c r="I522" s="176"/>
      <c r="J522" s="302"/>
    </row>
    <row r="523" spans="1:10" x14ac:dyDescent="0.25">
      <c r="A523" s="185"/>
      <c r="B523" s="176"/>
      <c r="C523" s="176"/>
      <c r="D523" s="185"/>
      <c r="E523" s="179"/>
      <c r="F523" s="179"/>
      <c r="G523" s="185"/>
      <c r="H523" s="302"/>
      <c r="I523" s="176"/>
      <c r="J523" s="302"/>
    </row>
    <row r="524" spans="1:10" x14ac:dyDescent="0.25">
      <c r="A524" s="185"/>
      <c r="B524" s="176"/>
      <c r="C524" s="176"/>
      <c r="D524" s="185"/>
      <c r="E524" s="179"/>
      <c r="F524" s="179"/>
      <c r="G524" s="185"/>
      <c r="H524" s="302"/>
      <c r="I524" s="176"/>
      <c r="J524" s="302"/>
    </row>
    <row r="525" spans="1:10" x14ac:dyDescent="0.25">
      <c r="A525" s="185"/>
      <c r="B525" s="176"/>
      <c r="C525" s="176"/>
      <c r="D525" s="185"/>
      <c r="E525" s="179"/>
      <c r="F525" s="179"/>
      <c r="G525" s="185"/>
      <c r="H525" s="302"/>
      <c r="I525" s="176"/>
      <c r="J525" s="302"/>
    </row>
    <row r="526" spans="1:10" x14ac:dyDescent="0.25">
      <c r="A526" s="185"/>
      <c r="B526" s="176"/>
      <c r="C526" s="176"/>
      <c r="D526" s="185"/>
      <c r="E526" s="179"/>
      <c r="F526" s="179"/>
      <c r="G526" s="185"/>
      <c r="H526" s="302"/>
      <c r="I526" s="176"/>
      <c r="J526" s="302"/>
    </row>
    <row r="527" spans="1:10" x14ac:dyDescent="0.25">
      <c r="A527" s="185"/>
      <c r="B527" s="176"/>
      <c r="C527" s="176"/>
      <c r="D527" s="185"/>
      <c r="E527" s="179"/>
      <c r="F527" s="179"/>
      <c r="G527" s="185"/>
      <c r="H527" s="302"/>
      <c r="I527" s="176"/>
      <c r="J527" s="302"/>
    </row>
    <row r="528" spans="1:10" x14ac:dyDescent="0.25">
      <c r="A528" s="185"/>
      <c r="B528" s="176"/>
      <c r="C528" s="176"/>
      <c r="D528" s="185"/>
      <c r="E528" s="179"/>
      <c r="F528" s="179"/>
      <c r="G528" s="185"/>
      <c r="H528" s="302"/>
      <c r="I528" s="176"/>
      <c r="J528" s="302"/>
    </row>
    <row r="529" spans="1:10" x14ac:dyDescent="0.25">
      <c r="A529" s="185"/>
      <c r="B529" s="176"/>
      <c r="C529" s="176"/>
      <c r="D529" s="185"/>
      <c r="E529" s="179"/>
      <c r="F529" s="179"/>
      <c r="G529" s="185"/>
      <c r="H529" s="302"/>
      <c r="I529" s="176"/>
      <c r="J529" s="302"/>
    </row>
    <row r="530" spans="1:10" x14ac:dyDescent="0.25">
      <c r="A530" s="185"/>
      <c r="B530" s="176"/>
      <c r="C530" s="176"/>
      <c r="D530" s="185"/>
      <c r="E530" s="179"/>
      <c r="F530" s="179"/>
      <c r="G530" s="185"/>
      <c r="H530" s="302"/>
      <c r="I530" s="176"/>
      <c r="J530" s="302"/>
    </row>
    <row r="531" spans="1:10" x14ac:dyDescent="0.25">
      <c r="A531" s="185"/>
      <c r="B531" s="176"/>
      <c r="C531" s="176"/>
      <c r="D531" s="185"/>
      <c r="E531" s="179"/>
      <c r="F531" s="179"/>
      <c r="G531" s="185"/>
      <c r="H531" s="302"/>
      <c r="I531" s="176"/>
      <c r="J531" s="302"/>
    </row>
    <row r="532" spans="1:10" x14ac:dyDescent="0.25">
      <c r="A532" s="185"/>
      <c r="B532" s="176"/>
      <c r="C532" s="176"/>
      <c r="D532" s="185"/>
      <c r="E532" s="179"/>
      <c r="F532" s="179"/>
      <c r="G532" s="185"/>
      <c r="H532" s="302"/>
      <c r="I532" s="176"/>
      <c r="J532" s="302"/>
    </row>
    <row r="533" spans="1:10" x14ac:dyDescent="0.25">
      <c r="A533" s="185"/>
      <c r="B533" s="176"/>
      <c r="C533" s="176"/>
      <c r="D533" s="185"/>
      <c r="E533" s="179"/>
      <c r="F533" s="179"/>
      <c r="G533" s="185"/>
      <c r="H533" s="302"/>
      <c r="I533" s="176"/>
      <c r="J533" s="302"/>
    </row>
    <row r="534" spans="1:10" x14ac:dyDescent="0.25">
      <c r="A534" s="185"/>
      <c r="B534" s="176"/>
      <c r="C534" s="176"/>
      <c r="D534" s="185"/>
      <c r="E534" s="179"/>
      <c r="F534" s="179"/>
      <c r="G534" s="185"/>
      <c r="H534" s="302"/>
      <c r="I534" s="176"/>
      <c r="J534" s="302"/>
    </row>
    <row r="535" spans="1:10" x14ac:dyDescent="0.25">
      <c r="A535" s="185"/>
      <c r="B535" s="176"/>
      <c r="C535" s="176"/>
      <c r="D535" s="185"/>
      <c r="E535" s="179"/>
      <c r="F535" s="179"/>
      <c r="G535" s="185"/>
      <c r="H535" s="302"/>
      <c r="I535" s="176"/>
      <c r="J535" s="302"/>
    </row>
    <row r="536" spans="1:10" x14ac:dyDescent="0.25">
      <c r="A536" s="185"/>
      <c r="B536" s="176"/>
      <c r="C536" s="176"/>
      <c r="D536" s="185"/>
      <c r="E536" s="179"/>
      <c r="F536" s="179"/>
      <c r="G536" s="185"/>
      <c r="H536" s="302"/>
      <c r="I536" s="176"/>
      <c r="J536" s="302"/>
    </row>
    <row r="537" spans="1:10" x14ac:dyDescent="0.25">
      <c r="A537" s="185"/>
      <c r="B537" s="176"/>
      <c r="C537" s="176"/>
      <c r="D537" s="185"/>
      <c r="E537" s="179"/>
      <c r="F537" s="179"/>
      <c r="G537" s="185"/>
      <c r="H537" s="302"/>
      <c r="I537" s="176"/>
      <c r="J537" s="302"/>
    </row>
    <row r="538" spans="1:10" x14ac:dyDescent="0.25">
      <c r="A538" s="185"/>
      <c r="B538" s="176"/>
      <c r="C538" s="176"/>
      <c r="D538" s="185"/>
      <c r="E538" s="179"/>
      <c r="F538" s="179"/>
      <c r="G538" s="185"/>
      <c r="H538" s="302"/>
      <c r="I538" s="176"/>
      <c r="J538" s="302"/>
    </row>
    <row r="539" spans="1:10" x14ac:dyDescent="0.25">
      <c r="A539" s="185"/>
      <c r="B539" s="176"/>
      <c r="C539" s="176"/>
      <c r="D539" s="185"/>
      <c r="E539" s="179"/>
      <c r="F539" s="179"/>
      <c r="G539" s="185"/>
      <c r="H539" s="302"/>
      <c r="I539" s="176"/>
      <c r="J539" s="302"/>
    </row>
    <row r="540" spans="1:10" x14ac:dyDescent="0.25">
      <c r="A540" s="185"/>
      <c r="B540" s="176"/>
      <c r="C540" s="176"/>
      <c r="D540" s="185"/>
      <c r="E540" s="179"/>
      <c r="F540" s="179"/>
      <c r="G540" s="185"/>
      <c r="H540" s="302"/>
      <c r="I540" s="176"/>
      <c r="J540" s="302"/>
    </row>
    <row r="541" spans="1:10" x14ac:dyDescent="0.25">
      <c r="A541" s="185"/>
      <c r="B541" s="176"/>
      <c r="C541" s="176"/>
      <c r="D541" s="185"/>
      <c r="E541" s="179"/>
      <c r="F541" s="179"/>
      <c r="G541" s="185"/>
      <c r="H541" s="302"/>
      <c r="I541" s="176"/>
      <c r="J541" s="302"/>
    </row>
    <row r="542" spans="1:10" x14ac:dyDescent="0.25">
      <c r="A542" s="185"/>
      <c r="B542" s="176"/>
      <c r="C542" s="176"/>
      <c r="D542" s="185"/>
      <c r="E542" s="179"/>
      <c r="F542" s="179"/>
      <c r="G542" s="185"/>
      <c r="H542" s="302"/>
      <c r="I542" s="176"/>
      <c r="J542" s="302"/>
    </row>
    <row r="543" spans="1:10" x14ac:dyDescent="0.25">
      <c r="A543" s="185"/>
      <c r="B543" s="176"/>
      <c r="C543" s="176"/>
      <c r="D543" s="185"/>
      <c r="E543" s="179"/>
      <c r="F543" s="179"/>
      <c r="G543" s="185"/>
      <c r="H543" s="302"/>
      <c r="I543" s="176"/>
      <c r="J543" s="302"/>
    </row>
  </sheetData>
  <mergeCells count="12">
    <mergeCell ref="L12:M12"/>
    <mergeCell ref="A1:J1"/>
    <mergeCell ref="A2:J2"/>
    <mergeCell ref="L6:L7"/>
    <mergeCell ref="L1:Y1"/>
    <mergeCell ref="N2:O2"/>
    <mergeCell ref="L3:M3"/>
    <mergeCell ref="O17:O18"/>
    <mergeCell ref="P17:P18"/>
    <mergeCell ref="L17:N17"/>
    <mergeCell ref="L14:N14"/>
    <mergeCell ref="L13:N13"/>
  </mergeCells>
  <dataValidations count="5">
    <dataValidation type="list" allowBlank="1" showInputMessage="1" showErrorMessage="1" sqref="D4:D103">
      <formula1>$P$36:$P$85</formula1>
    </dataValidation>
    <dataValidation type="list" allowBlank="1" showInputMessage="1" showErrorMessage="1" sqref="C4:C543">
      <formula1>$O$36:$O$38</formula1>
    </dataValidation>
    <dataValidation type="list" errorStyle="information" allowBlank="1" showInputMessage="1" showErrorMessage="1" sqref="B4:B543">
      <formula1>$M$36:$M$55</formula1>
    </dataValidation>
    <dataValidation type="list" errorStyle="information" allowBlank="1" showInputMessage="1" showErrorMessage="1" sqref="A4:A543">
      <formula1>$L$36:$L$82</formula1>
    </dataValidation>
    <dataValidation type="list" allowBlank="1" showInputMessage="1" showErrorMessage="1" sqref="I4:I543">
      <formula1>$W$36:$W$51</formula1>
    </dataValidation>
  </dataValidations>
  <pageMargins left="0.7" right="0.7" top="0.75" bottom="0.75" header="0.3" footer="0.3"/>
  <pageSetup paperSize="9" scale="48" orientation="landscape" horizontalDpi="90" verticalDpi="90" r:id="rId1"/>
  <rowBreaks count="1" manualBreakCount="1">
    <brk id="33" max="28" man="1"/>
  </rowBreaks>
  <colBreaks count="1" manualBreakCount="1">
    <brk id="10" max="6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L1 LoW info</vt:lpstr>
      <vt:lpstr>L2 DW inventory-estimate</vt:lpstr>
      <vt:lpstr>L2 CW estimate</vt:lpstr>
      <vt:lpstr>L3 CDW measure</vt:lpstr>
      <vt:lpstr>Core</vt:lpstr>
      <vt:lpstr>External_works</vt:lpstr>
      <vt:lpstr>Shell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Donate-PC</dc:creator>
  <cp:lastModifiedBy>DONATELLO Shane (JRC-SEVILLA)</cp:lastModifiedBy>
  <dcterms:created xsi:type="dcterms:W3CDTF">2020-04-22T14:29:35Z</dcterms:created>
  <dcterms:modified xsi:type="dcterms:W3CDTF">2021-01-28T09:04:19Z</dcterms:modified>
</cp:coreProperties>
</file>